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G57" i="2" l="1"/>
  <c r="G64" i="3"/>
  <c r="G58" i="4"/>
  <c r="G51" i="5"/>
  <c r="G52" i="6"/>
  <c r="G50" i="7"/>
  <c r="G48" i="8"/>
  <c r="G58" i="9"/>
  <c r="G53" i="10"/>
  <c r="G58" i="11"/>
  <c r="F43" i="6" l="1"/>
  <c r="E43" i="6"/>
  <c r="D43" i="6"/>
  <c r="C43" i="6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E9" i="3" s="1"/>
  <c r="D5" i="3"/>
  <c r="C5" i="3"/>
  <c r="F4" i="3"/>
  <c r="F9" i="3" s="1"/>
  <c r="E4" i="3"/>
  <c r="D4" i="3"/>
  <c r="D9" i="3" s="1"/>
  <c r="C4" i="3"/>
  <c r="C9" i="3" s="1"/>
  <c r="F12" i="3"/>
  <c r="E12" i="3"/>
  <c r="D12" i="3"/>
  <c r="C12" i="3"/>
  <c r="F11" i="3"/>
  <c r="F13" i="3" s="1"/>
  <c r="E11" i="3"/>
  <c r="E13" i="3" s="1"/>
  <c r="D11" i="3"/>
  <c r="D13" i="3" s="1"/>
  <c r="C11" i="3"/>
  <c r="C13" i="3" s="1"/>
  <c r="F7" i="9"/>
  <c r="E7" i="9"/>
  <c r="D7" i="9"/>
  <c r="C7" i="9"/>
  <c r="F6" i="9"/>
  <c r="E6" i="9"/>
  <c r="D6" i="9"/>
  <c r="C6" i="9"/>
  <c r="F5" i="9"/>
  <c r="E5" i="9"/>
  <c r="D5" i="9"/>
  <c r="C5" i="9"/>
  <c r="F4" i="9"/>
  <c r="E4" i="9"/>
  <c r="D4" i="9"/>
  <c r="C4" i="9"/>
  <c r="F3" i="9"/>
  <c r="F8" i="9" s="1"/>
  <c r="E3" i="9"/>
  <c r="D3" i="9"/>
  <c r="D8" i="9" s="1"/>
  <c r="C3" i="9"/>
  <c r="C8" i="9" s="1"/>
  <c r="F12" i="9"/>
  <c r="E12" i="9"/>
  <c r="D12" i="9"/>
  <c r="C12" i="9"/>
  <c r="F11" i="9"/>
  <c r="E11" i="9"/>
  <c r="D11" i="9"/>
  <c r="C11" i="9"/>
  <c r="F10" i="9"/>
  <c r="F13" i="9" s="1"/>
  <c r="E10" i="9"/>
  <c r="E13" i="9" s="1"/>
  <c r="D10" i="9"/>
  <c r="D13" i="9" s="1"/>
  <c r="C10" i="9"/>
  <c r="C13" i="9" s="1"/>
  <c r="E8" i="9" l="1"/>
  <c r="F5" i="2"/>
  <c r="F14" i="4" l="1"/>
  <c r="E14" i="4"/>
  <c r="F20" i="2" l="1"/>
  <c r="E52" i="9" l="1"/>
  <c r="D52" i="9"/>
  <c r="F52" i="9"/>
  <c r="C52" i="9"/>
  <c r="F36" i="5" l="1"/>
  <c r="E36" i="5"/>
  <c r="D36" i="5"/>
  <c r="C36" i="5"/>
  <c r="F29" i="2" l="1"/>
  <c r="E29" i="2"/>
  <c r="D29" i="2"/>
  <c r="C29" i="2"/>
  <c r="F43" i="3" l="1"/>
  <c r="E43" i="3"/>
  <c r="D43" i="3"/>
  <c r="C43" i="3"/>
  <c r="F48" i="5" l="1"/>
  <c r="E48" i="5"/>
  <c r="D48" i="5"/>
  <c r="C48" i="5"/>
  <c r="F46" i="5"/>
  <c r="E46" i="5"/>
  <c r="C46" i="5"/>
  <c r="F42" i="9" l="1"/>
  <c r="E42" i="9"/>
  <c r="D42" i="9"/>
  <c r="C42" i="9"/>
  <c r="F36" i="2" l="1"/>
  <c r="E36" i="2"/>
  <c r="D36" i="2"/>
  <c r="C36" i="2"/>
  <c r="F41" i="6"/>
  <c r="E41" i="6"/>
  <c r="D41" i="6"/>
  <c r="C41" i="6"/>
  <c r="F39" i="7"/>
  <c r="E39" i="7"/>
  <c r="D39" i="7"/>
  <c r="C39" i="7"/>
  <c r="F48" i="9"/>
  <c r="E48" i="9"/>
  <c r="D48" i="9"/>
  <c r="C48" i="9"/>
  <c r="F43" i="7"/>
  <c r="E43" i="7"/>
  <c r="D43" i="7"/>
  <c r="C43" i="7"/>
  <c r="F22" i="7" l="1"/>
  <c r="E22" i="7"/>
  <c r="D22" i="7"/>
  <c r="C22" i="7"/>
  <c r="F55" i="11" l="1"/>
  <c r="E55" i="11"/>
  <c r="D55" i="11"/>
  <c r="C55" i="11"/>
  <c r="F54" i="11"/>
  <c r="E54" i="11"/>
  <c r="D54" i="11"/>
  <c r="C54" i="11"/>
  <c r="F52" i="11"/>
  <c r="E52" i="11"/>
  <c r="D52" i="11"/>
  <c r="C52" i="11"/>
  <c r="F51" i="11"/>
  <c r="E51" i="11"/>
  <c r="D51" i="11"/>
  <c r="C51" i="11"/>
  <c r="F50" i="11"/>
  <c r="F53" i="11" s="1"/>
  <c r="E50" i="11"/>
  <c r="E53" i="11" s="1"/>
  <c r="D50" i="11"/>
  <c r="D53" i="11" s="1"/>
  <c r="C50" i="11"/>
  <c r="C53" i="11" s="1"/>
  <c r="F47" i="11"/>
  <c r="E47" i="11"/>
  <c r="D47" i="11"/>
  <c r="C47" i="11"/>
  <c r="F46" i="11"/>
  <c r="E46" i="11"/>
  <c r="D46" i="11"/>
  <c r="C46" i="11"/>
  <c r="F45" i="11"/>
  <c r="F48" i="11" s="1"/>
  <c r="E45" i="11"/>
  <c r="E48" i="11" s="1"/>
  <c r="D45" i="11"/>
  <c r="D48" i="11" s="1"/>
  <c r="C45" i="11"/>
  <c r="C48" i="11" s="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E43" i="11" s="1"/>
  <c r="D35" i="11"/>
  <c r="C35" i="11"/>
  <c r="F34" i="11"/>
  <c r="F43" i="11" s="1"/>
  <c r="E34" i="11"/>
  <c r="D34" i="11"/>
  <c r="D43" i="11" s="1"/>
  <c r="C34" i="11"/>
  <c r="C43" i="11" s="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E32" i="11" s="1"/>
  <c r="E56" i="11" s="1"/>
  <c r="D26" i="11"/>
  <c r="C26" i="11"/>
  <c r="F25" i="11"/>
  <c r="F32" i="11" s="1"/>
  <c r="F56" i="11" s="1"/>
  <c r="E25" i="11"/>
  <c r="D25" i="11"/>
  <c r="D32" i="11" s="1"/>
  <c r="D56" i="11" s="1"/>
  <c r="C25" i="11"/>
  <c r="C32" i="11" s="1"/>
  <c r="C56" i="11" s="1"/>
  <c r="F21" i="11"/>
  <c r="E21" i="11"/>
  <c r="D21" i="11"/>
  <c r="C21" i="11"/>
  <c r="F18" i="11"/>
  <c r="E18" i="11"/>
  <c r="D18" i="11"/>
  <c r="C18" i="11"/>
  <c r="F17" i="11"/>
  <c r="E17" i="11"/>
  <c r="D17" i="11"/>
  <c r="C17" i="11"/>
  <c r="F15" i="11"/>
  <c r="E15" i="11"/>
  <c r="D15" i="11"/>
  <c r="C15" i="11"/>
  <c r="F14" i="11"/>
  <c r="E14" i="11"/>
  <c r="D14" i="11"/>
  <c r="C14" i="11"/>
  <c r="F13" i="11"/>
  <c r="F16" i="11" s="1"/>
  <c r="E13" i="11"/>
  <c r="E16" i="11" s="1"/>
  <c r="D13" i="11"/>
  <c r="D16" i="11" s="1"/>
  <c r="C13" i="11"/>
  <c r="C16" i="11" s="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F11" i="11" s="1"/>
  <c r="F19" i="11" s="1"/>
  <c r="F58" i="11" s="1"/>
  <c r="E4" i="11"/>
  <c r="E11" i="11" s="1"/>
  <c r="E19" i="11" s="1"/>
  <c r="E58" i="11" s="1"/>
  <c r="D4" i="11"/>
  <c r="D11" i="11" s="1"/>
  <c r="D19" i="11" s="1"/>
  <c r="D58" i="11" s="1"/>
  <c r="C4" i="11"/>
  <c r="C11" i="11" s="1"/>
  <c r="C19" i="11" s="1"/>
  <c r="C58" i="11" s="1"/>
  <c r="F50" i="10"/>
  <c r="E50" i="10"/>
  <c r="D50" i="10"/>
  <c r="C50" i="10"/>
  <c r="F49" i="10"/>
  <c r="E49" i="10"/>
  <c r="D49" i="10"/>
  <c r="C49" i="10"/>
  <c r="F48" i="10"/>
  <c r="E48" i="10"/>
  <c r="D48" i="10"/>
  <c r="C48" i="10"/>
  <c r="D47" i="10"/>
  <c r="F46" i="10"/>
  <c r="E46" i="10"/>
  <c r="D46" i="10"/>
  <c r="C46" i="10"/>
  <c r="F45" i="10"/>
  <c r="F47" i="10" s="1"/>
  <c r="E45" i="10"/>
  <c r="E47" i="10" s="1"/>
  <c r="D45" i="10"/>
  <c r="C45" i="10"/>
  <c r="C47" i="10" s="1"/>
  <c r="F42" i="10"/>
  <c r="E42" i="10"/>
  <c r="D42" i="10"/>
  <c r="C42" i="10"/>
  <c r="F41" i="10"/>
  <c r="E41" i="10"/>
  <c r="D41" i="10"/>
  <c r="C41" i="10"/>
  <c r="F40" i="10"/>
  <c r="F43" i="10" s="1"/>
  <c r="E40" i="10"/>
  <c r="E43" i="10" s="1"/>
  <c r="D40" i="10"/>
  <c r="D43" i="10" s="1"/>
  <c r="C40" i="10"/>
  <c r="C43" i="10" s="1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F38" i="10" s="1"/>
  <c r="E32" i="10"/>
  <c r="E38" i="10" s="1"/>
  <c r="D32" i="10"/>
  <c r="D38" i="10" s="1"/>
  <c r="C32" i="10"/>
  <c r="C38" i="10" s="1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F30" i="10" s="1"/>
  <c r="E23" i="10"/>
  <c r="E30" i="10" s="1"/>
  <c r="E51" i="10" s="1"/>
  <c r="D23" i="10"/>
  <c r="D30" i="10" s="1"/>
  <c r="C23" i="10"/>
  <c r="C30" i="10" s="1"/>
  <c r="C51" i="10" s="1"/>
  <c r="F19" i="10"/>
  <c r="E19" i="10"/>
  <c r="D19" i="10"/>
  <c r="C19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2" i="10"/>
  <c r="E12" i="10"/>
  <c r="D12" i="10"/>
  <c r="C12" i="10"/>
  <c r="F11" i="10"/>
  <c r="F13" i="10" s="1"/>
  <c r="E11" i="10"/>
  <c r="E13" i="10" s="1"/>
  <c r="D11" i="10"/>
  <c r="D13" i="10" s="1"/>
  <c r="C11" i="10"/>
  <c r="C13" i="10" s="1"/>
  <c r="F10" i="10"/>
  <c r="E10" i="10"/>
  <c r="D10" i="10"/>
  <c r="C10" i="10"/>
  <c r="F7" i="10"/>
  <c r="E7" i="10"/>
  <c r="D7" i="10"/>
  <c r="C7" i="10"/>
  <c r="F6" i="10"/>
  <c r="E6" i="10"/>
  <c r="D6" i="10"/>
  <c r="C6" i="10"/>
  <c r="F5" i="10"/>
  <c r="E5" i="10"/>
  <c r="D5" i="10"/>
  <c r="C5" i="10"/>
  <c r="F4" i="10"/>
  <c r="F8" i="10" s="1"/>
  <c r="F17" i="10" s="1"/>
  <c r="E4" i="10"/>
  <c r="E8" i="10" s="1"/>
  <c r="E17" i="10" s="1"/>
  <c r="E53" i="10" s="1"/>
  <c r="D4" i="10"/>
  <c r="D8" i="10" s="1"/>
  <c r="D17" i="10" s="1"/>
  <c r="C4" i="10"/>
  <c r="C8" i="10" s="1"/>
  <c r="C17" i="10" s="1"/>
  <c r="C53" i="10" s="1"/>
  <c r="F55" i="9"/>
  <c r="E55" i="9"/>
  <c r="D55" i="9"/>
  <c r="C55" i="9"/>
  <c r="F54" i="9"/>
  <c r="E54" i="9"/>
  <c r="D54" i="9"/>
  <c r="C54" i="9"/>
  <c r="C53" i="9"/>
  <c r="F51" i="9"/>
  <c r="E51" i="9"/>
  <c r="D51" i="9"/>
  <c r="C51" i="9"/>
  <c r="F50" i="9"/>
  <c r="F53" i="9" s="1"/>
  <c r="E50" i="9"/>
  <c r="E53" i="9" s="1"/>
  <c r="D50" i="9"/>
  <c r="D53" i="9" s="1"/>
  <c r="C50" i="9"/>
  <c r="F46" i="9"/>
  <c r="E46" i="9"/>
  <c r="D46" i="9"/>
  <c r="C46" i="9"/>
  <c r="F45" i="9"/>
  <c r="F47" i="9" s="1"/>
  <c r="E45" i="9"/>
  <c r="E47" i="9" s="1"/>
  <c r="D45" i="9"/>
  <c r="D47" i="9" s="1"/>
  <c r="C45" i="9"/>
  <c r="C47" i="9" s="1"/>
  <c r="F43" i="9"/>
  <c r="E43" i="9"/>
  <c r="D43" i="9"/>
  <c r="C43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C37" i="9"/>
  <c r="F36" i="9"/>
  <c r="F44" i="9" s="1"/>
  <c r="E36" i="9"/>
  <c r="E44" i="9" s="1"/>
  <c r="D36" i="9"/>
  <c r="D44" i="9" s="1"/>
  <c r="C36" i="9"/>
  <c r="C44" i="9" s="1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E34" i="9" s="1"/>
  <c r="D28" i="9"/>
  <c r="D34" i="9" s="1"/>
  <c r="C28" i="9"/>
  <c r="C34" i="9" s="1"/>
  <c r="F24" i="9"/>
  <c r="E24" i="9"/>
  <c r="D24" i="9"/>
  <c r="C24" i="9"/>
  <c r="F21" i="9"/>
  <c r="E21" i="9"/>
  <c r="D21" i="9"/>
  <c r="C21" i="9"/>
  <c r="F20" i="9"/>
  <c r="E20" i="9"/>
  <c r="D20" i="9"/>
  <c r="C20" i="9"/>
  <c r="F19" i="9"/>
  <c r="E19" i="9"/>
  <c r="D19" i="9"/>
  <c r="C19" i="9"/>
  <c r="F17" i="9"/>
  <c r="E17" i="9"/>
  <c r="D17" i="9"/>
  <c r="C17" i="9"/>
  <c r="F16" i="9"/>
  <c r="E16" i="9"/>
  <c r="D16" i="9"/>
  <c r="C16" i="9"/>
  <c r="F15" i="9"/>
  <c r="F18" i="9" s="1"/>
  <c r="E15" i="9"/>
  <c r="E18" i="9" s="1"/>
  <c r="D15" i="9"/>
  <c r="D18" i="9" s="1"/>
  <c r="C15" i="9"/>
  <c r="C18" i="9" s="1"/>
  <c r="F45" i="8"/>
  <c r="E45" i="8"/>
  <c r="D45" i="8"/>
  <c r="C45" i="8"/>
  <c r="F44" i="8"/>
  <c r="E44" i="8"/>
  <c r="D44" i="8"/>
  <c r="C44" i="8"/>
  <c r="F43" i="8"/>
  <c r="E43" i="8"/>
  <c r="D43" i="8"/>
  <c r="C43" i="8"/>
  <c r="D42" i="8"/>
  <c r="F41" i="8"/>
  <c r="E41" i="8"/>
  <c r="D41" i="8"/>
  <c r="C41" i="8"/>
  <c r="F40" i="8"/>
  <c r="F42" i="8" s="1"/>
  <c r="E40" i="8"/>
  <c r="E42" i="8" s="1"/>
  <c r="D40" i="8"/>
  <c r="C40" i="8"/>
  <c r="C42" i="8" s="1"/>
  <c r="F37" i="8"/>
  <c r="E37" i="8"/>
  <c r="D37" i="8"/>
  <c r="C37" i="8"/>
  <c r="F36" i="8"/>
  <c r="F38" i="8" s="1"/>
  <c r="E36" i="8"/>
  <c r="E38" i="8" s="1"/>
  <c r="D36" i="8"/>
  <c r="D38" i="8" s="1"/>
  <c r="C36" i="8"/>
  <c r="C38" i="8" s="1"/>
  <c r="F34" i="8"/>
  <c r="E34" i="8"/>
  <c r="D34" i="8"/>
  <c r="C34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F32" i="8" s="1"/>
  <c r="E24" i="8"/>
  <c r="E32" i="8" s="1"/>
  <c r="E46" i="8" s="1"/>
  <c r="D24" i="8"/>
  <c r="D32" i="8" s="1"/>
  <c r="C24" i="8"/>
  <c r="C32" i="8" s="1"/>
  <c r="C46" i="8" s="1"/>
  <c r="F20" i="8"/>
  <c r="E20" i="8"/>
  <c r="D20" i="8"/>
  <c r="C20" i="8"/>
  <c r="F17" i="8"/>
  <c r="E17" i="8"/>
  <c r="D17" i="8"/>
  <c r="C17" i="8"/>
  <c r="F16" i="8"/>
  <c r="E16" i="8"/>
  <c r="D16" i="8"/>
  <c r="C16" i="8"/>
  <c r="F14" i="8"/>
  <c r="E14" i="8"/>
  <c r="D14" i="8"/>
  <c r="C14" i="8"/>
  <c r="F13" i="8"/>
  <c r="E13" i="8"/>
  <c r="D13" i="8"/>
  <c r="C13" i="8"/>
  <c r="F12" i="8"/>
  <c r="F15" i="8" s="1"/>
  <c r="E12" i="8"/>
  <c r="E15" i="8" s="1"/>
  <c r="D12" i="8"/>
  <c r="D15" i="8" s="1"/>
  <c r="C12" i="8"/>
  <c r="C15" i="8" s="1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F3" i="8"/>
  <c r="F10" i="8" s="1"/>
  <c r="F18" i="8" s="1"/>
  <c r="E3" i="8"/>
  <c r="E10" i="8" s="1"/>
  <c r="E18" i="8" s="1"/>
  <c r="E48" i="8" s="1"/>
  <c r="D3" i="8"/>
  <c r="D10" i="8" s="1"/>
  <c r="D18" i="8" s="1"/>
  <c r="C3" i="8"/>
  <c r="C10" i="8" s="1"/>
  <c r="C18" i="8" s="1"/>
  <c r="C48" i="8" s="1"/>
  <c r="F47" i="7"/>
  <c r="E47" i="7"/>
  <c r="D47" i="7"/>
  <c r="C47" i="7"/>
  <c r="F46" i="7"/>
  <c r="E46" i="7"/>
  <c r="D46" i="7"/>
  <c r="C46" i="7"/>
  <c r="F44" i="7"/>
  <c r="E44" i="7"/>
  <c r="D44" i="7"/>
  <c r="C44" i="7"/>
  <c r="F45" i="7"/>
  <c r="E45" i="7"/>
  <c r="D45" i="7"/>
  <c r="F41" i="7"/>
  <c r="E41" i="7"/>
  <c r="D41" i="7"/>
  <c r="C41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F40" i="7" s="1"/>
  <c r="E33" i="7"/>
  <c r="E40" i="7" s="1"/>
  <c r="D33" i="7"/>
  <c r="D40" i="7" s="1"/>
  <c r="C33" i="7"/>
  <c r="C40" i="7" s="1"/>
  <c r="F32" i="7"/>
  <c r="E32" i="7"/>
  <c r="D32" i="7"/>
  <c r="C32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19" i="7"/>
  <c r="E19" i="7"/>
  <c r="D19" i="7"/>
  <c r="C19" i="7"/>
  <c r="F18" i="7"/>
  <c r="E18" i="7"/>
  <c r="D18" i="7"/>
  <c r="C18" i="7"/>
  <c r="F16" i="7"/>
  <c r="E16" i="7"/>
  <c r="D16" i="7"/>
  <c r="C16" i="7"/>
  <c r="F15" i="7"/>
  <c r="E15" i="7"/>
  <c r="D15" i="7"/>
  <c r="C15" i="7"/>
  <c r="F14" i="7"/>
  <c r="E14" i="7"/>
  <c r="D14" i="7"/>
  <c r="C14" i="7"/>
  <c r="F12" i="7"/>
  <c r="E12" i="7"/>
  <c r="D12" i="7"/>
  <c r="C12" i="7"/>
  <c r="F11" i="7"/>
  <c r="E11" i="7"/>
  <c r="D11" i="7"/>
  <c r="C11" i="7"/>
  <c r="F10" i="7"/>
  <c r="F13" i="7" s="1"/>
  <c r="E10" i="7"/>
  <c r="E13" i="7" s="1"/>
  <c r="D10" i="7"/>
  <c r="D13" i="7" s="1"/>
  <c r="C10" i="7"/>
  <c r="C13" i="7" s="1"/>
  <c r="F7" i="7"/>
  <c r="E7" i="7"/>
  <c r="D7" i="7"/>
  <c r="C7" i="7"/>
  <c r="F6" i="7"/>
  <c r="E6" i="7"/>
  <c r="D6" i="7"/>
  <c r="C6" i="7"/>
  <c r="F5" i="7"/>
  <c r="E5" i="7"/>
  <c r="D5" i="7"/>
  <c r="C5" i="7"/>
  <c r="F4" i="7"/>
  <c r="F8" i="7" s="1"/>
  <c r="F17" i="7" s="1"/>
  <c r="E4" i="7"/>
  <c r="E8" i="7" s="1"/>
  <c r="E17" i="7" s="1"/>
  <c r="D4" i="7"/>
  <c r="D8" i="7" s="1"/>
  <c r="D17" i="7" s="1"/>
  <c r="C4" i="7"/>
  <c r="C8" i="7" s="1"/>
  <c r="C17" i="7" s="1"/>
  <c r="F50" i="6"/>
  <c r="E50" i="6"/>
  <c r="D50" i="6"/>
  <c r="C50" i="6"/>
  <c r="F49" i="6"/>
  <c r="E49" i="6"/>
  <c r="D49" i="6"/>
  <c r="C49" i="6"/>
  <c r="F46" i="6"/>
  <c r="E46" i="6"/>
  <c r="D46" i="6"/>
  <c r="C46" i="6"/>
  <c r="F45" i="6"/>
  <c r="F47" i="6" s="1"/>
  <c r="E45" i="6"/>
  <c r="E47" i="6" s="1"/>
  <c r="D45" i="6"/>
  <c r="D47" i="6" s="1"/>
  <c r="C45" i="6"/>
  <c r="C47" i="6" s="1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F42" i="6" s="1"/>
  <c r="E37" i="6"/>
  <c r="E42" i="6" s="1"/>
  <c r="D37" i="6"/>
  <c r="D42" i="6" s="1"/>
  <c r="C37" i="6"/>
  <c r="C42" i="6" s="1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E35" i="6" s="1"/>
  <c r="E51" i="6" s="1"/>
  <c r="D31" i="6"/>
  <c r="C31" i="6"/>
  <c r="F30" i="6"/>
  <c r="F35" i="6" s="1"/>
  <c r="F51" i="6" s="1"/>
  <c r="E30" i="6"/>
  <c r="D30" i="6"/>
  <c r="D35" i="6" s="1"/>
  <c r="D51" i="6" s="1"/>
  <c r="C30" i="6"/>
  <c r="C35" i="6" s="1"/>
  <c r="C51" i="6" s="1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F28" i="6" s="1"/>
  <c r="E22" i="6"/>
  <c r="E28" i="6" s="1"/>
  <c r="D22" i="6"/>
  <c r="D28" i="6" s="1"/>
  <c r="C22" i="6"/>
  <c r="C28" i="6" s="1"/>
  <c r="F18" i="6"/>
  <c r="E18" i="6"/>
  <c r="D18" i="6"/>
  <c r="C18" i="6"/>
  <c r="F14" i="6"/>
  <c r="E14" i="6"/>
  <c r="D14" i="6"/>
  <c r="C14" i="6"/>
  <c r="F13" i="6"/>
  <c r="E13" i="6"/>
  <c r="D13" i="6"/>
  <c r="C13" i="6"/>
  <c r="F11" i="6"/>
  <c r="E11" i="6"/>
  <c r="D11" i="6"/>
  <c r="C11" i="6"/>
  <c r="F10" i="6"/>
  <c r="E10" i="6"/>
  <c r="D10" i="6"/>
  <c r="C10" i="6"/>
  <c r="F9" i="6"/>
  <c r="F12" i="6" s="1"/>
  <c r="E9" i="6"/>
  <c r="E12" i="6" s="1"/>
  <c r="D9" i="6"/>
  <c r="D12" i="6" s="1"/>
  <c r="C9" i="6"/>
  <c r="C12" i="6" s="1"/>
  <c r="F7" i="6"/>
  <c r="E7" i="6"/>
  <c r="D7" i="6"/>
  <c r="C7" i="6"/>
  <c r="F5" i="6"/>
  <c r="E5" i="6"/>
  <c r="D5" i="6"/>
  <c r="C5" i="6"/>
  <c r="F4" i="6"/>
  <c r="E4" i="6"/>
  <c r="D4" i="6"/>
  <c r="C4" i="6"/>
  <c r="F3" i="6"/>
  <c r="F6" i="6" s="1"/>
  <c r="F15" i="6" s="1"/>
  <c r="F52" i="6" s="1"/>
  <c r="E3" i="6"/>
  <c r="E6" i="6" s="1"/>
  <c r="E15" i="6" s="1"/>
  <c r="E52" i="6" s="1"/>
  <c r="D3" i="6"/>
  <c r="D6" i="6" s="1"/>
  <c r="D15" i="6" s="1"/>
  <c r="C3" i="6"/>
  <c r="C6" i="6" s="1"/>
  <c r="C15" i="6" s="1"/>
  <c r="F47" i="5"/>
  <c r="E47" i="5"/>
  <c r="D47" i="5"/>
  <c r="C47" i="5"/>
  <c r="D46" i="5"/>
  <c r="F43" i="5"/>
  <c r="E43" i="5"/>
  <c r="D43" i="5"/>
  <c r="C43" i="5"/>
  <c r="F42" i="5"/>
  <c r="F44" i="5" s="1"/>
  <c r="E42" i="5"/>
  <c r="E44" i="5" s="1"/>
  <c r="D42" i="5"/>
  <c r="D44" i="5" s="1"/>
  <c r="C42" i="5"/>
  <c r="C44" i="5" s="1"/>
  <c r="D41" i="5"/>
  <c r="F40" i="5"/>
  <c r="E40" i="5"/>
  <c r="D40" i="5"/>
  <c r="C40" i="5"/>
  <c r="F39" i="5"/>
  <c r="F41" i="5" s="1"/>
  <c r="E39" i="5"/>
  <c r="E41" i="5" s="1"/>
  <c r="D39" i="5"/>
  <c r="C39" i="5"/>
  <c r="C41" i="5" s="1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F37" i="5" s="1"/>
  <c r="E31" i="5"/>
  <c r="E37" i="5" s="1"/>
  <c r="D31" i="5"/>
  <c r="D37" i="5" s="1"/>
  <c r="C31" i="5"/>
  <c r="C37" i="5" s="1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F29" i="5" s="1"/>
  <c r="E21" i="5"/>
  <c r="E29" i="5" s="1"/>
  <c r="D21" i="5"/>
  <c r="D29" i="5" s="1"/>
  <c r="C21" i="5"/>
  <c r="C29" i="5" s="1"/>
  <c r="F15" i="5"/>
  <c r="E15" i="5"/>
  <c r="D15" i="5"/>
  <c r="C15" i="5"/>
  <c r="F14" i="5"/>
  <c r="E14" i="5"/>
  <c r="D14" i="5"/>
  <c r="C14" i="5"/>
  <c r="F13" i="5"/>
  <c r="F16" i="5" s="1"/>
  <c r="E13" i="5"/>
  <c r="E16" i="5" s="1"/>
  <c r="D13" i="5"/>
  <c r="D16" i="5" s="1"/>
  <c r="C13" i="5"/>
  <c r="C16" i="5" s="1"/>
  <c r="F11" i="5"/>
  <c r="E11" i="5"/>
  <c r="D11" i="5"/>
  <c r="C11" i="5"/>
  <c r="F10" i="5"/>
  <c r="F12" i="5" s="1"/>
  <c r="E10" i="5"/>
  <c r="E12" i="5" s="1"/>
  <c r="D10" i="5"/>
  <c r="C10" i="5"/>
  <c r="F9" i="5"/>
  <c r="E9" i="5"/>
  <c r="D9" i="5"/>
  <c r="D12" i="5" s="1"/>
  <c r="C9" i="5"/>
  <c r="C12" i="5" s="1"/>
  <c r="F6" i="5"/>
  <c r="E6" i="5"/>
  <c r="D6" i="5"/>
  <c r="C6" i="5"/>
  <c r="F5" i="5"/>
  <c r="E5" i="5"/>
  <c r="D5" i="5"/>
  <c r="C5" i="5"/>
  <c r="F4" i="5"/>
  <c r="E4" i="5"/>
  <c r="D4" i="5"/>
  <c r="C4" i="5"/>
  <c r="F3" i="5"/>
  <c r="F7" i="5" s="1"/>
  <c r="F17" i="5" s="1"/>
  <c r="E3" i="5"/>
  <c r="E7" i="5" s="1"/>
  <c r="E17" i="5" s="1"/>
  <c r="D3" i="5"/>
  <c r="D7" i="5" s="1"/>
  <c r="D17" i="5" s="1"/>
  <c r="C3" i="5"/>
  <c r="C7" i="5" s="1"/>
  <c r="F54" i="4"/>
  <c r="E54" i="4"/>
  <c r="D54" i="4"/>
  <c r="C54" i="4"/>
  <c r="F53" i="4"/>
  <c r="E53" i="4"/>
  <c r="D53" i="4"/>
  <c r="C53" i="4"/>
  <c r="F52" i="4"/>
  <c r="E52" i="4"/>
  <c r="E55" i="4" s="1"/>
  <c r="D52" i="4"/>
  <c r="D55" i="4" s="1"/>
  <c r="C52" i="4"/>
  <c r="C55" i="4" s="1"/>
  <c r="F49" i="4"/>
  <c r="E49" i="4"/>
  <c r="D49" i="4"/>
  <c r="C49" i="4"/>
  <c r="F48" i="4"/>
  <c r="F50" i="4" s="1"/>
  <c r="E48" i="4"/>
  <c r="E50" i="4" s="1"/>
  <c r="D48" i="4"/>
  <c r="D50" i="4" s="1"/>
  <c r="C48" i="4"/>
  <c r="C50" i="4" s="1"/>
  <c r="F46" i="4"/>
  <c r="E46" i="4"/>
  <c r="D46" i="4"/>
  <c r="C46" i="4"/>
  <c r="F45" i="4"/>
  <c r="E45" i="4"/>
  <c r="E47" i="4" s="1"/>
  <c r="D45" i="4"/>
  <c r="D47" i="4" s="1"/>
  <c r="C45" i="4"/>
  <c r="C47" i="4" s="1"/>
  <c r="F42" i="4"/>
  <c r="E42" i="4"/>
  <c r="D42" i="4"/>
  <c r="C42" i="4"/>
  <c r="F41" i="4"/>
  <c r="E41" i="4"/>
  <c r="D41" i="4"/>
  <c r="C41" i="4"/>
  <c r="F40" i="4"/>
  <c r="F43" i="4" s="1"/>
  <c r="E40" i="4"/>
  <c r="E43" i="4" s="1"/>
  <c r="D40" i="4"/>
  <c r="D43" i="4" s="1"/>
  <c r="C40" i="4"/>
  <c r="C43" i="4" s="1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F38" i="4" s="1"/>
  <c r="E33" i="4"/>
  <c r="E38" i="4" s="1"/>
  <c r="D33" i="4"/>
  <c r="D38" i="4" s="1"/>
  <c r="C33" i="4"/>
  <c r="C38" i="4" s="1"/>
  <c r="C56" i="4" s="1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F31" i="4" s="1"/>
  <c r="E24" i="4"/>
  <c r="E31" i="4" s="1"/>
  <c r="E56" i="4" s="1"/>
  <c r="D24" i="4"/>
  <c r="D31" i="4" s="1"/>
  <c r="D56" i="4" s="1"/>
  <c r="C24" i="4"/>
  <c r="C31" i="4" s="1"/>
  <c r="F21" i="4"/>
  <c r="E21" i="4"/>
  <c r="D21" i="4"/>
  <c r="C21" i="4"/>
  <c r="F19" i="4"/>
  <c r="E19" i="4"/>
  <c r="D19" i="4"/>
  <c r="C19" i="4"/>
  <c r="F18" i="4"/>
  <c r="E18" i="4"/>
  <c r="D18" i="4"/>
  <c r="C18" i="4"/>
  <c r="F16" i="4"/>
  <c r="E16" i="4"/>
  <c r="D16" i="4"/>
  <c r="C16" i="4"/>
  <c r="F15" i="4"/>
  <c r="E15" i="4"/>
  <c r="D15" i="4"/>
  <c r="C15" i="4"/>
  <c r="F17" i="4"/>
  <c r="E17" i="4"/>
  <c r="D14" i="4"/>
  <c r="D17" i="4" s="1"/>
  <c r="C14" i="4"/>
  <c r="C17" i="4" s="1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F4" i="4"/>
  <c r="E4" i="4"/>
  <c r="D4" i="4"/>
  <c r="C4" i="4"/>
  <c r="F3" i="4"/>
  <c r="E3" i="4"/>
  <c r="E12" i="4" s="1"/>
  <c r="E20" i="4" s="1"/>
  <c r="D3" i="4"/>
  <c r="D12" i="4" s="1"/>
  <c r="D20" i="4" s="1"/>
  <c r="C3" i="4"/>
  <c r="C12" i="4" s="1"/>
  <c r="C20" i="4" s="1"/>
  <c r="F61" i="3"/>
  <c r="E61" i="3"/>
  <c r="D61" i="3"/>
  <c r="C61" i="3"/>
  <c r="F60" i="3"/>
  <c r="F62" i="3" s="1"/>
  <c r="E60" i="3"/>
  <c r="D60" i="3"/>
  <c r="C60" i="3"/>
  <c r="F59" i="3"/>
  <c r="E59" i="3"/>
  <c r="E62" i="3" s="1"/>
  <c r="D59" i="3"/>
  <c r="D62" i="3" s="1"/>
  <c r="D57" i="3" s="1"/>
  <c r="C59" i="3"/>
  <c r="C62" i="3" s="1"/>
  <c r="F56" i="3"/>
  <c r="E56" i="3"/>
  <c r="D56" i="3"/>
  <c r="C56" i="3"/>
  <c r="F55" i="3"/>
  <c r="E55" i="3"/>
  <c r="E57" i="3" s="1"/>
  <c r="D55" i="3"/>
  <c r="C55" i="3"/>
  <c r="C57" i="3" s="1"/>
  <c r="F54" i="3"/>
  <c r="E54" i="3"/>
  <c r="D54" i="3"/>
  <c r="C54" i="3"/>
  <c r="F52" i="3"/>
  <c r="E52" i="3"/>
  <c r="D52" i="3"/>
  <c r="C52" i="3"/>
  <c r="F51" i="3"/>
  <c r="E51" i="3"/>
  <c r="D51" i="3"/>
  <c r="C51" i="3"/>
  <c r="F50" i="3"/>
  <c r="F53" i="3" s="1"/>
  <c r="E50" i="3"/>
  <c r="E53" i="3" s="1"/>
  <c r="D50" i="3"/>
  <c r="D53" i="3" s="1"/>
  <c r="C50" i="3"/>
  <c r="C53" i="3" s="1"/>
  <c r="F49" i="3"/>
  <c r="E49" i="3"/>
  <c r="D49" i="3"/>
  <c r="C49" i="3"/>
  <c r="F47" i="3"/>
  <c r="E47" i="3"/>
  <c r="D47" i="3"/>
  <c r="C47" i="3"/>
  <c r="F46" i="3"/>
  <c r="E46" i="3"/>
  <c r="E48" i="3" s="1"/>
  <c r="D46" i="3"/>
  <c r="D48" i="3" s="1"/>
  <c r="C46" i="3"/>
  <c r="C48" i="3" s="1"/>
  <c r="F42" i="3"/>
  <c r="E42" i="3"/>
  <c r="D42" i="3"/>
  <c r="C42" i="3"/>
  <c r="F41" i="3"/>
  <c r="E41" i="3"/>
  <c r="D41" i="3"/>
  <c r="C41" i="3"/>
  <c r="F40" i="3"/>
  <c r="E40" i="3"/>
  <c r="E44" i="3" s="1"/>
  <c r="D40" i="3"/>
  <c r="C40" i="3"/>
  <c r="F39" i="3"/>
  <c r="D39" i="3"/>
  <c r="C39" i="3"/>
  <c r="C44" i="3" s="1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F37" i="3" s="1"/>
  <c r="E28" i="3"/>
  <c r="D28" i="3"/>
  <c r="D37" i="3" s="1"/>
  <c r="C28" i="3"/>
  <c r="C37" i="3" s="1"/>
  <c r="F25" i="3"/>
  <c r="E25" i="3"/>
  <c r="D25" i="3"/>
  <c r="C25" i="3"/>
  <c r="F23" i="3"/>
  <c r="E23" i="3"/>
  <c r="D23" i="3"/>
  <c r="C23" i="3"/>
  <c r="C24" i="3" s="1"/>
  <c r="F22" i="3"/>
  <c r="E22" i="3"/>
  <c r="D22" i="3"/>
  <c r="C22" i="3"/>
  <c r="F21" i="3"/>
  <c r="E21" i="3"/>
  <c r="D21" i="3"/>
  <c r="C21" i="3"/>
  <c r="F19" i="3"/>
  <c r="E19" i="3"/>
  <c r="E24" i="3" s="1"/>
  <c r="D19" i="3"/>
  <c r="C19" i="3"/>
  <c r="F17" i="3"/>
  <c r="E17" i="3"/>
  <c r="D17" i="3"/>
  <c r="C17" i="3"/>
  <c r="F16" i="3"/>
  <c r="E16" i="3"/>
  <c r="D16" i="3"/>
  <c r="C16" i="3"/>
  <c r="F15" i="3"/>
  <c r="E15" i="3"/>
  <c r="E18" i="3" s="1"/>
  <c r="D15" i="3"/>
  <c r="D18" i="3" s="1"/>
  <c r="D24" i="3" s="1"/>
  <c r="C15" i="3"/>
  <c r="F14" i="3"/>
  <c r="E14" i="3"/>
  <c r="D14" i="3"/>
  <c r="C14" i="3"/>
  <c r="C52" i="6" l="1"/>
  <c r="D51" i="10"/>
  <c r="D53" i="10" s="1"/>
  <c r="F51" i="10"/>
  <c r="F53" i="10" s="1"/>
  <c r="F34" i="9"/>
  <c r="F56" i="9" s="1"/>
  <c r="C56" i="9"/>
  <c r="E56" i="9"/>
  <c r="D46" i="8"/>
  <c r="D48" i="8" s="1"/>
  <c r="F46" i="8"/>
  <c r="F48" i="8" s="1"/>
  <c r="D52" i="6"/>
  <c r="F12" i="4"/>
  <c r="F20" i="4" s="1"/>
  <c r="F57" i="3"/>
  <c r="F48" i="3"/>
  <c r="C63" i="3"/>
  <c r="C64" i="3" s="1"/>
  <c r="F44" i="3"/>
  <c r="D44" i="3"/>
  <c r="D63" i="3" s="1"/>
  <c r="D64" i="3" s="1"/>
  <c r="E37" i="3"/>
  <c r="E63" i="3" s="1"/>
  <c r="E64" i="3" s="1"/>
  <c r="D56" i="9"/>
  <c r="C49" i="5"/>
  <c r="E49" i="5"/>
  <c r="E51" i="5" s="1"/>
  <c r="D22" i="9"/>
  <c r="F22" i="9"/>
  <c r="C22" i="9"/>
  <c r="E22" i="9"/>
  <c r="C45" i="7"/>
  <c r="C48" i="7" s="1"/>
  <c r="C50" i="7" s="1"/>
  <c r="D31" i="7"/>
  <c r="D48" i="7" s="1"/>
  <c r="D50" i="7" s="1"/>
  <c r="F31" i="7"/>
  <c r="F48" i="7" s="1"/>
  <c r="F50" i="7" s="1"/>
  <c r="C31" i="7"/>
  <c r="E48" i="7"/>
  <c r="E50" i="7" s="1"/>
  <c r="E31" i="7"/>
  <c r="C18" i="3"/>
  <c r="C17" i="5"/>
  <c r="F47" i="4"/>
  <c r="F56" i="4" s="1"/>
  <c r="F55" i="4"/>
  <c r="F18" i="3"/>
  <c r="F24" i="3" s="1"/>
  <c r="D49" i="5"/>
  <c r="D51" i="5" s="1"/>
  <c r="F49" i="5"/>
  <c r="F51" i="5" s="1"/>
  <c r="F54" i="2"/>
  <c r="E54" i="2"/>
  <c r="D54" i="2"/>
  <c r="C54" i="2"/>
  <c r="F52" i="2"/>
  <c r="E52" i="2"/>
  <c r="D52" i="2"/>
  <c r="C52" i="2"/>
  <c r="F51" i="2"/>
  <c r="E51" i="2"/>
  <c r="E53" i="2" s="1"/>
  <c r="D51" i="2"/>
  <c r="D53" i="2" s="1"/>
  <c r="C51" i="2"/>
  <c r="C53" i="2" s="1"/>
  <c r="D50" i="2"/>
  <c r="F49" i="2"/>
  <c r="E49" i="2"/>
  <c r="D49" i="2"/>
  <c r="C49" i="2"/>
  <c r="F48" i="2"/>
  <c r="F50" i="2" s="1"/>
  <c r="E48" i="2"/>
  <c r="D48" i="2"/>
  <c r="C48" i="2"/>
  <c r="C50" i="2" s="1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F46" i="2" s="1"/>
  <c r="E39" i="2"/>
  <c r="D39" i="2"/>
  <c r="D46" i="2" s="1"/>
  <c r="C39" i="2"/>
  <c r="C46" i="2" s="1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F37" i="2" s="1"/>
  <c r="E32" i="2"/>
  <c r="D32" i="2"/>
  <c r="D37" i="2" s="1"/>
  <c r="C32" i="2"/>
  <c r="C37" i="2" s="1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F30" i="2" s="1"/>
  <c r="E24" i="2"/>
  <c r="D24" i="2"/>
  <c r="D30" i="2" s="1"/>
  <c r="C24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3" i="2"/>
  <c r="E13" i="2"/>
  <c r="D13" i="2"/>
  <c r="C13" i="2"/>
  <c r="F11" i="2"/>
  <c r="E11" i="2"/>
  <c r="D11" i="2"/>
  <c r="C11" i="2"/>
  <c r="F10" i="2"/>
  <c r="E10" i="2"/>
  <c r="D10" i="2"/>
  <c r="C10" i="2"/>
  <c r="F7" i="2"/>
  <c r="E7" i="2"/>
  <c r="D7" i="2"/>
  <c r="C7" i="2"/>
  <c r="F6" i="2"/>
  <c r="E6" i="2"/>
  <c r="D6" i="2"/>
  <c r="C6" i="2"/>
  <c r="E5" i="2"/>
  <c r="D5" i="2"/>
  <c r="C5" i="2"/>
  <c r="F4" i="2"/>
  <c r="F8" i="2" s="1"/>
  <c r="F18" i="2" s="1"/>
  <c r="E4" i="2"/>
  <c r="D4" i="2"/>
  <c r="C4" i="2"/>
  <c r="C8" i="2" s="1"/>
  <c r="E37" i="2" l="1"/>
  <c r="E46" i="2"/>
  <c r="E58" i="9"/>
  <c r="F58" i="9"/>
  <c r="C58" i="9"/>
  <c r="D58" i="9"/>
  <c r="F63" i="3"/>
  <c r="F64" i="3" s="1"/>
  <c r="D8" i="2"/>
  <c r="D18" i="2" s="1"/>
  <c r="F53" i="2"/>
  <c r="D55" i="2"/>
  <c r="D57" i="2" s="1"/>
  <c r="F55" i="2"/>
  <c r="F57" i="2" s="1"/>
  <c r="E50" i="2"/>
  <c r="E30" i="2"/>
  <c r="E55" i="2" s="1"/>
  <c r="C30" i="2"/>
  <c r="C55" i="2" s="1"/>
  <c r="C18" i="2"/>
  <c r="E8" i="2"/>
  <c r="E18" i="2" s="1"/>
  <c r="C51" i="5"/>
  <c r="F58" i="4"/>
  <c r="F510" i="1"/>
  <c r="E510" i="1"/>
  <c r="C510" i="1"/>
  <c r="D510" i="1"/>
  <c r="F197" i="1"/>
  <c r="E197" i="1"/>
  <c r="D197" i="1"/>
  <c r="C197" i="1"/>
  <c r="E57" i="2" l="1"/>
  <c r="C57" i="2"/>
  <c r="F11" i="1"/>
  <c r="E11" i="1"/>
  <c r="D11" i="1"/>
  <c r="C11" i="1"/>
  <c r="C54" i="1" l="1"/>
  <c r="F139" i="1"/>
  <c r="E139" i="1"/>
  <c r="D139" i="1"/>
  <c r="C139" i="1"/>
  <c r="F78" i="1" l="1"/>
  <c r="E78" i="1"/>
  <c r="D78" i="1"/>
  <c r="C78" i="1"/>
  <c r="F21" i="1"/>
  <c r="E21" i="1"/>
  <c r="D21" i="1"/>
  <c r="C21" i="1"/>
  <c r="F544" i="1"/>
  <c r="E544" i="1"/>
  <c r="D544" i="1"/>
  <c r="C544" i="1"/>
  <c r="F543" i="1"/>
  <c r="E543" i="1"/>
  <c r="D543" i="1"/>
  <c r="C543" i="1"/>
  <c r="F546" i="1"/>
  <c r="F548" i="1"/>
  <c r="E541" i="1"/>
  <c r="E546" i="1"/>
  <c r="E548" i="1"/>
  <c r="D541" i="1"/>
  <c r="D546" i="1"/>
  <c r="D548" i="1"/>
  <c r="C541" i="1"/>
  <c r="C546" i="1"/>
  <c r="C548" i="1"/>
  <c r="F541" i="1"/>
  <c r="F540" i="1"/>
  <c r="E540" i="1"/>
  <c r="D540" i="1"/>
  <c r="C540" i="1"/>
  <c r="F539" i="1"/>
  <c r="E539" i="1"/>
  <c r="D539" i="1"/>
  <c r="C539" i="1"/>
  <c r="F534" i="1"/>
  <c r="F536" i="1"/>
  <c r="E536" i="1"/>
  <c r="D536" i="1"/>
  <c r="C536" i="1"/>
  <c r="F535" i="1"/>
  <c r="E535" i="1"/>
  <c r="D535" i="1"/>
  <c r="C535" i="1"/>
  <c r="E534" i="1"/>
  <c r="D534" i="1"/>
  <c r="C534" i="1"/>
  <c r="F531" i="1"/>
  <c r="E531" i="1"/>
  <c r="D531" i="1"/>
  <c r="C531" i="1"/>
  <c r="F533" i="1"/>
  <c r="F538" i="1"/>
  <c r="F530" i="1"/>
  <c r="E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E521" i="1" s="1"/>
  <c r="D515" i="1"/>
  <c r="C515" i="1"/>
  <c r="F514" i="1"/>
  <c r="F521" i="1" s="1"/>
  <c r="E514" i="1"/>
  <c r="D514" i="1"/>
  <c r="D521" i="1" s="1"/>
  <c r="C514" i="1"/>
  <c r="C521" i="1" s="1"/>
  <c r="C537" i="1" l="1"/>
  <c r="D537" i="1"/>
  <c r="F537" i="1"/>
  <c r="D542" i="1"/>
  <c r="F542" i="1"/>
  <c r="E537" i="1"/>
  <c r="E532" i="1"/>
  <c r="C542" i="1"/>
  <c r="E542" i="1"/>
  <c r="C532" i="1"/>
  <c r="F532" i="1"/>
  <c r="F545" i="1" s="1"/>
  <c r="F507" i="1"/>
  <c r="E507" i="1"/>
  <c r="C507" i="1"/>
  <c r="F506" i="1"/>
  <c r="E506" i="1"/>
  <c r="D506" i="1"/>
  <c r="C506" i="1"/>
  <c r="F504" i="1"/>
  <c r="E504" i="1"/>
  <c r="D504" i="1"/>
  <c r="D503" i="1"/>
  <c r="C504" i="1"/>
  <c r="F503" i="1"/>
  <c r="E503" i="1"/>
  <c r="C503" i="1"/>
  <c r="F502" i="1"/>
  <c r="E502" i="1"/>
  <c r="D502" i="1"/>
  <c r="C502" i="1"/>
  <c r="F499" i="1"/>
  <c r="E499" i="1"/>
  <c r="D499" i="1"/>
  <c r="C499" i="1"/>
  <c r="F498" i="1"/>
  <c r="E498" i="1"/>
  <c r="D498" i="1"/>
  <c r="C498" i="1"/>
  <c r="F497" i="1"/>
  <c r="E497" i="1"/>
  <c r="C497" i="1"/>
  <c r="F496" i="1"/>
  <c r="E496" i="1"/>
  <c r="D496" i="1"/>
  <c r="C496" i="1"/>
  <c r="F495" i="1"/>
  <c r="E495" i="1"/>
  <c r="D495" i="1"/>
  <c r="C495" i="1"/>
  <c r="F494" i="1"/>
  <c r="D494" i="1"/>
  <c r="E494" i="1"/>
  <c r="C494" i="1"/>
  <c r="F493" i="1"/>
  <c r="E493" i="1"/>
  <c r="D493" i="1"/>
  <c r="C49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C545" i="1" l="1"/>
  <c r="E505" i="1"/>
  <c r="C500" i="1"/>
  <c r="E545" i="1"/>
  <c r="C505" i="1"/>
  <c r="F505" i="1"/>
  <c r="D505" i="1"/>
  <c r="E500" i="1"/>
  <c r="E508" i="1" s="1"/>
  <c r="E547" i="1" s="1"/>
  <c r="F500" i="1"/>
  <c r="F481" i="1"/>
  <c r="E481" i="1"/>
  <c r="D481" i="1"/>
  <c r="C481" i="1"/>
  <c r="F480" i="1"/>
  <c r="F482" i="1" s="1"/>
  <c r="E480" i="1"/>
  <c r="E482" i="1" s="1"/>
  <c r="D480" i="1"/>
  <c r="C480" i="1"/>
  <c r="C482" i="1" s="1"/>
  <c r="F477" i="1"/>
  <c r="E477" i="1"/>
  <c r="C477" i="1"/>
  <c r="F476" i="1"/>
  <c r="E476" i="1"/>
  <c r="D476" i="1"/>
  <c r="C476" i="1"/>
  <c r="F475" i="1"/>
  <c r="E475" i="1"/>
  <c r="D475" i="1"/>
  <c r="C475" i="1"/>
  <c r="C478" i="1" s="1"/>
  <c r="F468" i="1"/>
  <c r="F467" i="1"/>
  <c r="F472" i="1"/>
  <c r="E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D468" i="1"/>
  <c r="E468" i="1"/>
  <c r="C468" i="1"/>
  <c r="E467" i="1"/>
  <c r="D467" i="1"/>
  <c r="C467" i="1"/>
  <c r="F464" i="1"/>
  <c r="E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C465" i="1" s="1"/>
  <c r="F454" i="1"/>
  <c r="E454" i="1"/>
  <c r="D454" i="1"/>
  <c r="C454" i="1"/>
  <c r="F451" i="1"/>
  <c r="E451" i="1"/>
  <c r="C451" i="1"/>
  <c r="F450" i="1"/>
  <c r="E450" i="1"/>
  <c r="D450" i="1"/>
  <c r="C450" i="1"/>
  <c r="F449" i="1"/>
  <c r="E449" i="1"/>
  <c r="D449" i="1"/>
  <c r="C449" i="1"/>
  <c r="F445" i="1"/>
  <c r="E445" i="1"/>
  <c r="D445" i="1"/>
  <c r="C445" i="1"/>
  <c r="F447" i="1"/>
  <c r="E447" i="1"/>
  <c r="D447" i="1"/>
  <c r="C447" i="1"/>
  <c r="F446" i="1"/>
  <c r="F448" i="1" s="1"/>
  <c r="E446" i="1"/>
  <c r="E448" i="1" s="1"/>
  <c r="D446" i="1"/>
  <c r="D448" i="1" s="1"/>
  <c r="C446" i="1"/>
  <c r="C448" i="1" s="1"/>
  <c r="F442" i="1"/>
  <c r="E442" i="1"/>
  <c r="D442" i="1"/>
  <c r="C442" i="1"/>
  <c r="F441" i="1"/>
  <c r="E441" i="1"/>
  <c r="C441" i="1"/>
  <c r="E440" i="1"/>
  <c r="D440" i="1"/>
  <c r="C440" i="1"/>
  <c r="F439" i="1"/>
  <c r="E439" i="1"/>
  <c r="E443" i="1" s="1"/>
  <c r="D439" i="1"/>
  <c r="C439" i="1"/>
  <c r="F508" i="1" l="1"/>
  <c r="F547" i="1" s="1"/>
  <c r="C508" i="1"/>
  <c r="C547" i="1" s="1"/>
  <c r="C443" i="1"/>
  <c r="C452" i="1" s="1"/>
  <c r="E452" i="1"/>
  <c r="F465" i="1"/>
  <c r="C473" i="1"/>
  <c r="E473" i="1"/>
  <c r="F478" i="1"/>
  <c r="F473" i="1"/>
  <c r="E465" i="1"/>
  <c r="E478" i="1"/>
  <c r="C486" i="1"/>
  <c r="F431" i="1"/>
  <c r="E431" i="1"/>
  <c r="D431" i="1"/>
  <c r="C431" i="1"/>
  <c r="F430" i="1"/>
  <c r="E430" i="1"/>
  <c r="D430" i="1"/>
  <c r="C430" i="1"/>
  <c r="F428" i="1"/>
  <c r="E428" i="1"/>
  <c r="D428" i="1"/>
  <c r="C428" i="1"/>
  <c r="F427" i="1"/>
  <c r="F429" i="1" s="1"/>
  <c r="E427" i="1"/>
  <c r="D427" i="1"/>
  <c r="D429" i="1" s="1"/>
  <c r="C427" i="1"/>
  <c r="F425" i="1"/>
  <c r="E425" i="1"/>
  <c r="D425" i="1"/>
  <c r="C425" i="1"/>
  <c r="F424" i="1"/>
  <c r="F426" i="1" s="1"/>
  <c r="E424" i="1"/>
  <c r="E426" i="1" s="1"/>
  <c r="D424" i="1"/>
  <c r="C424" i="1"/>
  <c r="C426" i="1" s="1"/>
  <c r="F421" i="1"/>
  <c r="E421" i="1"/>
  <c r="C421" i="1"/>
  <c r="F420" i="1"/>
  <c r="E420" i="1"/>
  <c r="D420" i="1"/>
  <c r="C420" i="1"/>
  <c r="C422" i="1" s="1"/>
  <c r="F418" i="1"/>
  <c r="E418" i="1"/>
  <c r="D418" i="1"/>
  <c r="C418" i="1"/>
  <c r="C417" i="1"/>
  <c r="F417" i="1"/>
  <c r="E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08" i="1"/>
  <c r="E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C409" i="1" s="1"/>
  <c r="F399" i="1"/>
  <c r="E399" i="1"/>
  <c r="D399" i="1"/>
  <c r="C399" i="1"/>
  <c r="F396" i="1"/>
  <c r="E396" i="1"/>
  <c r="D398" i="1"/>
  <c r="D400" i="1"/>
  <c r="D401" i="1"/>
  <c r="D402" i="1"/>
  <c r="D408" i="1"/>
  <c r="D410" i="1"/>
  <c r="D417" i="1"/>
  <c r="D421" i="1"/>
  <c r="D423" i="1"/>
  <c r="D426" i="1"/>
  <c r="D433" i="1"/>
  <c r="D441" i="1"/>
  <c r="D443" i="1" s="1"/>
  <c r="D444" i="1"/>
  <c r="D451" i="1"/>
  <c r="D455" i="1"/>
  <c r="D456" i="1"/>
  <c r="D457" i="1"/>
  <c r="D464" i="1"/>
  <c r="D465" i="1" s="1"/>
  <c r="D466" i="1"/>
  <c r="D472" i="1"/>
  <c r="D473" i="1" s="1"/>
  <c r="D474" i="1"/>
  <c r="D477" i="1"/>
  <c r="D478" i="1" s="1"/>
  <c r="D479" i="1"/>
  <c r="D482" i="1"/>
  <c r="D487" i="1"/>
  <c r="D489" i="1"/>
  <c r="D490" i="1"/>
  <c r="D491" i="1"/>
  <c r="D492" i="1"/>
  <c r="D497" i="1"/>
  <c r="D500" i="1" s="1"/>
  <c r="D501" i="1"/>
  <c r="D507" i="1"/>
  <c r="D508" i="1" s="1"/>
  <c r="D509" i="1"/>
  <c r="D511" i="1"/>
  <c r="D512" i="1"/>
  <c r="D513" i="1"/>
  <c r="D522" i="1"/>
  <c r="D530" i="1"/>
  <c r="D532" i="1" s="1"/>
  <c r="D545" i="1" s="1"/>
  <c r="D533" i="1"/>
  <c r="D538" i="1"/>
  <c r="F398" i="1"/>
  <c r="F400" i="1"/>
  <c r="F401" i="1"/>
  <c r="F402" i="1"/>
  <c r="F410" i="1"/>
  <c r="F423" i="1"/>
  <c r="F433" i="1"/>
  <c r="F440" i="1"/>
  <c r="F443" i="1" s="1"/>
  <c r="F452" i="1" s="1"/>
  <c r="F444" i="1"/>
  <c r="F455" i="1"/>
  <c r="F456" i="1"/>
  <c r="F457" i="1"/>
  <c r="F466" i="1"/>
  <c r="F474" i="1"/>
  <c r="F479" i="1"/>
  <c r="F487" i="1"/>
  <c r="F489" i="1"/>
  <c r="F490" i="1"/>
  <c r="F491" i="1"/>
  <c r="F492" i="1"/>
  <c r="F501" i="1"/>
  <c r="F509" i="1"/>
  <c r="F511" i="1"/>
  <c r="F512" i="1"/>
  <c r="F513" i="1"/>
  <c r="F522" i="1"/>
  <c r="E398" i="1"/>
  <c r="E400" i="1"/>
  <c r="E401" i="1"/>
  <c r="E402" i="1"/>
  <c r="E410" i="1"/>
  <c r="E423" i="1"/>
  <c r="E429" i="1"/>
  <c r="E433" i="1"/>
  <c r="E444" i="1"/>
  <c r="E455" i="1"/>
  <c r="E456" i="1"/>
  <c r="E457" i="1"/>
  <c r="E466" i="1"/>
  <c r="E474" i="1"/>
  <c r="E479" i="1"/>
  <c r="E487" i="1"/>
  <c r="E489" i="1"/>
  <c r="E490" i="1"/>
  <c r="E491" i="1"/>
  <c r="E492" i="1"/>
  <c r="E501" i="1"/>
  <c r="E509" i="1"/>
  <c r="E511" i="1"/>
  <c r="E512" i="1"/>
  <c r="E513" i="1"/>
  <c r="E522" i="1"/>
  <c r="E533" i="1"/>
  <c r="E538" i="1"/>
  <c r="D396" i="1"/>
  <c r="C396" i="1"/>
  <c r="F395" i="1"/>
  <c r="E395" i="1"/>
  <c r="D395" i="1"/>
  <c r="C395" i="1"/>
  <c r="F394" i="1"/>
  <c r="D394" i="1"/>
  <c r="C394" i="1"/>
  <c r="F392" i="1"/>
  <c r="E392" i="1"/>
  <c r="D392" i="1"/>
  <c r="C392" i="1"/>
  <c r="F391" i="1"/>
  <c r="E391" i="1"/>
  <c r="D391" i="1"/>
  <c r="C391" i="1"/>
  <c r="F390" i="1"/>
  <c r="F393" i="1" s="1"/>
  <c r="E390" i="1"/>
  <c r="E393" i="1" s="1"/>
  <c r="D390" i="1"/>
  <c r="D393" i="1" s="1"/>
  <c r="C390" i="1"/>
  <c r="C393" i="1" s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F388" i="1" s="1"/>
  <c r="E384" i="1"/>
  <c r="E388" i="1" s="1"/>
  <c r="D384" i="1"/>
  <c r="D388" i="1" s="1"/>
  <c r="C384" i="1"/>
  <c r="C388" i="1" s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2" i="1"/>
  <c r="E372" i="1"/>
  <c r="D372" i="1"/>
  <c r="C372" i="1"/>
  <c r="F371" i="1"/>
  <c r="F373" i="1" s="1"/>
  <c r="E371" i="1"/>
  <c r="E373" i="1" s="1"/>
  <c r="D371" i="1"/>
  <c r="C371" i="1"/>
  <c r="C373" i="1" s="1"/>
  <c r="F368" i="1"/>
  <c r="E368" i="1"/>
  <c r="D368" i="1"/>
  <c r="C368" i="1"/>
  <c r="F367" i="1"/>
  <c r="F369" i="1" s="1"/>
  <c r="E367" i="1"/>
  <c r="E369" i="1" s="1"/>
  <c r="D367" i="1"/>
  <c r="C367" i="1"/>
  <c r="C369" i="1" s="1"/>
  <c r="F351" i="1"/>
  <c r="E351" i="1"/>
  <c r="D351" i="1"/>
  <c r="C351" i="1"/>
  <c r="F365" i="1"/>
  <c r="E365" i="1"/>
  <c r="D365" i="1"/>
  <c r="C365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F363" i="1" s="1"/>
  <c r="E355" i="1"/>
  <c r="E363" i="1" s="1"/>
  <c r="D355" i="1"/>
  <c r="D363" i="1" s="1"/>
  <c r="C355" i="1"/>
  <c r="C363" i="1" s="1"/>
  <c r="F339" i="1"/>
  <c r="E339" i="1"/>
  <c r="D339" i="1"/>
  <c r="C339" i="1"/>
  <c r="F419" i="1" l="1"/>
  <c r="E422" i="1"/>
  <c r="F486" i="1"/>
  <c r="F488" i="1" s="1"/>
  <c r="E486" i="1"/>
  <c r="E488" i="1" s="1"/>
  <c r="C488" i="1"/>
  <c r="D369" i="1"/>
  <c r="D377" i="1" s="1"/>
  <c r="D486" i="1"/>
  <c r="C397" i="1"/>
  <c r="D547" i="1"/>
  <c r="D397" i="1"/>
  <c r="F397" i="1"/>
  <c r="F409" i="1"/>
  <c r="D452" i="1"/>
  <c r="D409" i="1"/>
  <c r="E377" i="1"/>
  <c r="D419" i="1"/>
  <c r="F377" i="1"/>
  <c r="E409" i="1"/>
  <c r="E419" i="1"/>
  <c r="C419" i="1"/>
  <c r="C432" i="1" s="1"/>
  <c r="D422" i="1"/>
  <c r="F422" i="1"/>
  <c r="C377" i="1"/>
  <c r="F348" i="1"/>
  <c r="E348" i="1"/>
  <c r="D348" i="1"/>
  <c r="C348" i="1"/>
  <c r="F347" i="1"/>
  <c r="E347" i="1"/>
  <c r="D347" i="1"/>
  <c r="C347" i="1"/>
  <c r="F345" i="1"/>
  <c r="E345" i="1"/>
  <c r="D345" i="1"/>
  <c r="C345" i="1"/>
  <c r="F344" i="1"/>
  <c r="E344" i="1"/>
  <c r="D344" i="1"/>
  <c r="C344" i="1"/>
  <c r="F343" i="1"/>
  <c r="F346" i="1" s="1"/>
  <c r="E343" i="1"/>
  <c r="D343" i="1"/>
  <c r="C343" i="1"/>
  <c r="C346" i="1" s="1"/>
  <c r="F340" i="1"/>
  <c r="E340" i="1"/>
  <c r="D340" i="1"/>
  <c r="C340" i="1"/>
  <c r="D346" i="1" l="1"/>
  <c r="D488" i="1"/>
  <c r="C434" i="1"/>
  <c r="E346" i="1"/>
  <c r="F432" i="1"/>
  <c r="F434" i="1" s="1"/>
  <c r="E432" i="1"/>
  <c r="D432" i="1"/>
  <c r="D434" i="1" s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E341" i="1" s="1"/>
  <c r="D334" i="1"/>
  <c r="D341" i="1" s="1"/>
  <c r="C334" i="1"/>
  <c r="C341" i="1" s="1"/>
  <c r="C349" i="1" s="1"/>
  <c r="C379" i="1" s="1"/>
  <c r="D349" i="1" l="1"/>
  <c r="D379" i="1" s="1"/>
  <c r="F341" i="1"/>
  <c r="F349" i="1" s="1"/>
  <c r="F379" i="1" s="1"/>
  <c r="E349" i="1"/>
  <c r="E379" i="1" s="1"/>
  <c r="F303" i="1"/>
  <c r="E303" i="1"/>
  <c r="D303" i="1"/>
  <c r="C303" i="1"/>
  <c r="F327" i="1"/>
  <c r="E327" i="1"/>
  <c r="D327" i="1"/>
  <c r="C327" i="1"/>
  <c r="F326" i="1"/>
  <c r="E326" i="1"/>
  <c r="D326" i="1"/>
  <c r="C326" i="1"/>
  <c r="F324" i="1"/>
  <c r="E324" i="1"/>
  <c r="D324" i="1"/>
  <c r="C324" i="1"/>
  <c r="F323" i="1"/>
  <c r="F325" i="1" s="1"/>
  <c r="E323" i="1"/>
  <c r="E325" i="1" s="1"/>
  <c r="D323" i="1"/>
  <c r="C323" i="1"/>
  <c r="F321" i="1"/>
  <c r="E321" i="1"/>
  <c r="D321" i="1"/>
  <c r="C321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F320" i="1" s="1"/>
  <c r="E313" i="1"/>
  <c r="E320" i="1" s="1"/>
  <c r="D313" i="1"/>
  <c r="D320" i="1" s="1"/>
  <c r="C313" i="1"/>
  <c r="C320" i="1" s="1"/>
  <c r="F310" i="1"/>
  <c r="E310" i="1"/>
  <c r="D310" i="1"/>
  <c r="C310" i="1"/>
  <c r="F309" i="1"/>
  <c r="E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1" i="1"/>
  <c r="F302" i="1"/>
  <c r="F312" i="1"/>
  <c r="F322" i="1"/>
  <c r="F329" i="1"/>
  <c r="F342" i="1"/>
  <c r="F352" i="1"/>
  <c r="F353" i="1"/>
  <c r="F354" i="1"/>
  <c r="F364" i="1"/>
  <c r="F366" i="1"/>
  <c r="F370" i="1"/>
  <c r="F378" i="1"/>
  <c r="F389" i="1"/>
  <c r="E301" i="1"/>
  <c r="E302" i="1"/>
  <c r="E312" i="1"/>
  <c r="E322" i="1"/>
  <c r="E329" i="1"/>
  <c r="E342" i="1"/>
  <c r="E352" i="1"/>
  <c r="E353" i="1"/>
  <c r="E354" i="1"/>
  <c r="E364" i="1"/>
  <c r="E366" i="1"/>
  <c r="E370" i="1"/>
  <c r="E378" i="1"/>
  <c r="E389" i="1"/>
  <c r="E394" i="1"/>
  <c r="E397" i="1" s="1"/>
  <c r="E434" i="1" s="1"/>
  <c r="D301" i="1"/>
  <c r="D302" i="1"/>
  <c r="D309" i="1"/>
  <c r="D312" i="1"/>
  <c r="D322" i="1"/>
  <c r="D325" i="1" s="1"/>
  <c r="D329" i="1"/>
  <c r="D342" i="1"/>
  <c r="D352" i="1"/>
  <c r="D353" i="1"/>
  <c r="D354" i="1"/>
  <c r="D364" i="1"/>
  <c r="D366" i="1"/>
  <c r="D370" i="1"/>
  <c r="D373" i="1"/>
  <c r="D378" i="1"/>
  <c r="D389" i="1"/>
  <c r="C301" i="1"/>
  <c r="C302" i="1"/>
  <c r="C312" i="1"/>
  <c r="C322" i="1"/>
  <c r="C329" i="1"/>
  <c r="C342" i="1"/>
  <c r="C352" i="1"/>
  <c r="C353" i="1"/>
  <c r="C354" i="1"/>
  <c r="C364" i="1"/>
  <c r="C366" i="1"/>
  <c r="C370" i="1"/>
  <c r="C378" i="1"/>
  <c r="C389" i="1"/>
  <c r="C398" i="1"/>
  <c r="C400" i="1"/>
  <c r="C401" i="1"/>
  <c r="C402" i="1"/>
  <c r="C410" i="1"/>
  <c r="C423" i="1"/>
  <c r="C429" i="1"/>
  <c r="C433" i="1"/>
  <c r="C444" i="1"/>
  <c r="C455" i="1"/>
  <c r="C456" i="1"/>
  <c r="C457" i="1"/>
  <c r="C466" i="1"/>
  <c r="C474" i="1"/>
  <c r="C479" i="1"/>
  <c r="C487" i="1"/>
  <c r="C489" i="1"/>
  <c r="C490" i="1"/>
  <c r="C491" i="1"/>
  <c r="C492" i="1"/>
  <c r="C501" i="1"/>
  <c r="C509" i="1"/>
  <c r="C511" i="1"/>
  <c r="C512" i="1"/>
  <c r="C513" i="1"/>
  <c r="C522" i="1"/>
  <c r="C533" i="1"/>
  <c r="C538" i="1"/>
  <c r="F300" i="1"/>
  <c r="E300" i="1"/>
  <c r="D300" i="1"/>
  <c r="C300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E293" i="1"/>
  <c r="D293" i="1"/>
  <c r="C293" i="1"/>
  <c r="F292" i="1"/>
  <c r="E292" i="1"/>
  <c r="D292" i="1"/>
  <c r="C292" i="1"/>
  <c r="F291" i="1"/>
  <c r="E291" i="1"/>
  <c r="E294" i="1" s="1"/>
  <c r="D291" i="1"/>
  <c r="D294" i="1" s="1"/>
  <c r="C291" i="1"/>
  <c r="C294" i="1" s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E289" i="1" s="1"/>
  <c r="D285" i="1"/>
  <c r="D289" i="1" s="1"/>
  <c r="C285" i="1"/>
  <c r="C289" i="1" s="1"/>
  <c r="F278" i="1"/>
  <c r="E278" i="1"/>
  <c r="D278" i="1"/>
  <c r="C278" i="1"/>
  <c r="F277" i="1"/>
  <c r="E277" i="1"/>
  <c r="D277" i="1"/>
  <c r="C277" i="1"/>
  <c r="E274" i="1"/>
  <c r="D274" i="1"/>
  <c r="C274" i="1"/>
  <c r="F273" i="1"/>
  <c r="E273" i="1"/>
  <c r="E275" i="1" s="1"/>
  <c r="D273" i="1"/>
  <c r="D275" i="1" s="1"/>
  <c r="C273" i="1"/>
  <c r="C275" i="1" s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E266" i="1"/>
  <c r="F266" i="1"/>
  <c r="D266" i="1"/>
  <c r="C266" i="1"/>
  <c r="F263" i="1"/>
  <c r="E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C264" i="1" s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E257" i="1" s="1"/>
  <c r="D251" i="1"/>
  <c r="D257" i="1" s="1"/>
  <c r="C251" i="1"/>
  <c r="C257" i="1" s="1"/>
  <c r="F247" i="1"/>
  <c r="E247" i="1"/>
  <c r="D247" i="1"/>
  <c r="C247" i="1"/>
  <c r="F243" i="1"/>
  <c r="E243" i="1"/>
  <c r="D243" i="1"/>
  <c r="C243" i="1"/>
  <c r="F242" i="1"/>
  <c r="E242" i="1"/>
  <c r="D242" i="1"/>
  <c r="C242" i="1"/>
  <c r="E240" i="1"/>
  <c r="D240" i="1"/>
  <c r="C240" i="1"/>
  <c r="F239" i="1"/>
  <c r="E239" i="1"/>
  <c r="D239" i="1"/>
  <c r="C239" i="1"/>
  <c r="F238" i="1"/>
  <c r="E238" i="1"/>
  <c r="E241" i="1" s="1"/>
  <c r="D238" i="1"/>
  <c r="D241" i="1" s="1"/>
  <c r="C238" i="1"/>
  <c r="C241" i="1" s="1"/>
  <c r="F236" i="1"/>
  <c r="E236" i="1"/>
  <c r="D236" i="1"/>
  <c r="C236" i="1"/>
  <c r="F234" i="1"/>
  <c r="E234" i="1"/>
  <c r="D234" i="1"/>
  <c r="C234" i="1"/>
  <c r="F233" i="1"/>
  <c r="E233" i="1"/>
  <c r="D233" i="1"/>
  <c r="C233" i="1"/>
  <c r="F232" i="1"/>
  <c r="F235" i="1" s="1"/>
  <c r="E232" i="1"/>
  <c r="E235" i="1" s="1"/>
  <c r="D232" i="1"/>
  <c r="D235" i="1" s="1"/>
  <c r="C232" i="1"/>
  <c r="F257" i="1" l="1"/>
  <c r="C298" i="1"/>
  <c r="C311" i="1"/>
  <c r="F264" i="1"/>
  <c r="C325" i="1"/>
  <c r="D311" i="1"/>
  <c r="D328" i="1" s="1"/>
  <c r="E311" i="1"/>
  <c r="F311" i="1"/>
  <c r="E328" i="1"/>
  <c r="F328" i="1"/>
  <c r="D298" i="1"/>
  <c r="E264" i="1"/>
  <c r="E271" i="1"/>
  <c r="E298" i="1"/>
  <c r="D244" i="1"/>
  <c r="E244" i="1"/>
  <c r="C271" i="1"/>
  <c r="C279" i="1" s="1"/>
  <c r="D271" i="1"/>
  <c r="F271" i="1"/>
  <c r="C235" i="1"/>
  <c r="C244" i="1" s="1"/>
  <c r="F225" i="1"/>
  <c r="E225" i="1"/>
  <c r="D225" i="1"/>
  <c r="C225" i="1"/>
  <c r="F224" i="1"/>
  <c r="F226" i="1" s="1"/>
  <c r="E224" i="1"/>
  <c r="E226" i="1" s="1"/>
  <c r="D224" i="1"/>
  <c r="D226" i="1" s="1"/>
  <c r="C224" i="1"/>
  <c r="C226" i="1" s="1"/>
  <c r="F221" i="1"/>
  <c r="E221" i="1"/>
  <c r="D221" i="1"/>
  <c r="C221" i="1"/>
  <c r="F220" i="1"/>
  <c r="F222" i="1" s="1"/>
  <c r="E220" i="1"/>
  <c r="E222" i="1" s="1"/>
  <c r="D220" i="1"/>
  <c r="D222" i="1" s="1"/>
  <c r="C220" i="1"/>
  <c r="C222" i="1" s="1"/>
  <c r="E218" i="1"/>
  <c r="D218" i="1"/>
  <c r="C218" i="1"/>
  <c r="F217" i="1"/>
  <c r="E217" i="1"/>
  <c r="E219" i="1" s="1"/>
  <c r="D217" i="1"/>
  <c r="C217" i="1"/>
  <c r="C219" i="1" s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3" i="1"/>
  <c r="E193" i="1"/>
  <c r="D193" i="1"/>
  <c r="C193" i="1"/>
  <c r="F192" i="1"/>
  <c r="E192" i="1"/>
  <c r="D192" i="1"/>
  <c r="C192" i="1"/>
  <c r="F191" i="1"/>
  <c r="F194" i="1" s="1"/>
  <c r="E191" i="1"/>
  <c r="E194" i="1" s="1"/>
  <c r="D191" i="1"/>
  <c r="D194" i="1" s="1"/>
  <c r="C191" i="1"/>
  <c r="C194" i="1" s="1"/>
  <c r="F189" i="1"/>
  <c r="E189" i="1"/>
  <c r="C189" i="1"/>
  <c r="E188" i="1"/>
  <c r="E190" i="1" s="1"/>
  <c r="D189" i="1"/>
  <c r="C188" i="1"/>
  <c r="F187" i="1"/>
  <c r="E187" i="1"/>
  <c r="D187" i="1"/>
  <c r="D188" i="1"/>
  <c r="C187" i="1"/>
  <c r="E182" i="1"/>
  <c r="E183" i="1"/>
  <c r="E184" i="1"/>
  <c r="E196" i="1"/>
  <c r="E223" i="1"/>
  <c r="E237" i="1"/>
  <c r="E245" i="1"/>
  <c r="E246" i="1"/>
  <c r="E248" i="1"/>
  <c r="E249" i="1"/>
  <c r="E250" i="1"/>
  <c r="E258" i="1"/>
  <c r="E265" i="1"/>
  <c r="E272" i="1"/>
  <c r="E276" i="1"/>
  <c r="E290" i="1"/>
  <c r="E299" i="1"/>
  <c r="E181" i="1"/>
  <c r="F184" i="1"/>
  <c r="D184" i="1"/>
  <c r="C184" i="1"/>
  <c r="D183" i="1"/>
  <c r="C183" i="1"/>
  <c r="F182" i="1"/>
  <c r="D182" i="1"/>
  <c r="C182" i="1"/>
  <c r="F181" i="1"/>
  <c r="D181" i="1"/>
  <c r="C181" i="1"/>
  <c r="F172" i="1"/>
  <c r="E172" i="1"/>
  <c r="D172" i="1"/>
  <c r="C172" i="1"/>
  <c r="F171" i="1"/>
  <c r="E171" i="1"/>
  <c r="D171" i="1"/>
  <c r="C171" i="1"/>
  <c r="F170" i="1"/>
  <c r="F173" i="1" s="1"/>
  <c r="E170" i="1"/>
  <c r="E173" i="1" s="1"/>
  <c r="D170" i="1"/>
  <c r="D173" i="1" s="1"/>
  <c r="C170" i="1"/>
  <c r="C173" i="1" s="1"/>
  <c r="F167" i="1"/>
  <c r="E167" i="1"/>
  <c r="D167" i="1"/>
  <c r="C167" i="1"/>
  <c r="F166" i="1"/>
  <c r="F168" i="1" s="1"/>
  <c r="E166" i="1"/>
  <c r="E168" i="1" s="1"/>
  <c r="D166" i="1"/>
  <c r="D168" i="1" s="1"/>
  <c r="C166" i="1"/>
  <c r="C168" i="1" s="1"/>
  <c r="E164" i="1"/>
  <c r="D164" i="1"/>
  <c r="C164" i="1"/>
  <c r="F163" i="1"/>
  <c r="D163" i="1"/>
  <c r="C163" i="1"/>
  <c r="F160" i="1"/>
  <c r="E160" i="1"/>
  <c r="D160" i="1"/>
  <c r="C160" i="1"/>
  <c r="F159" i="1"/>
  <c r="E159" i="1"/>
  <c r="D159" i="1"/>
  <c r="C159" i="1"/>
  <c r="F158" i="1"/>
  <c r="F161" i="1" s="1"/>
  <c r="E158" i="1"/>
  <c r="E161" i="1" s="1"/>
  <c r="D158" i="1"/>
  <c r="D161" i="1" s="1"/>
  <c r="C158" i="1"/>
  <c r="C161" i="1" s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F156" i="1" s="1"/>
  <c r="E151" i="1"/>
  <c r="E156" i="1" s="1"/>
  <c r="D151" i="1"/>
  <c r="D156" i="1" s="1"/>
  <c r="C151" i="1"/>
  <c r="C156" i="1" s="1"/>
  <c r="F148" i="1"/>
  <c r="E148" i="1"/>
  <c r="D148" i="1"/>
  <c r="C148" i="1"/>
  <c r="F147" i="1"/>
  <c r="E147" i="1"/>
  <c r="D147" i="1"/>
  <c r="C147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D134" i="1"/>
  <c r="C134" i="1"/>
  <c r="F133" i="1"/>
  <c r="E133" i="1"/>
  <c r="D133" i="1"/>
  <c r="C133" i="1"/>
  <c r="C132" i="1"/>
  <c r="F125" i="1"/>
  <c r="F122" i="1"/>
  <c r="F121" i="1"/>
  <c r="D129" i="1"/>
  <c r="D132" i="1"/>
  <c r="D136" i="1"/>
  <c r="D137" i="1"/>
  <c r="D196" i="1"/>
  <c r="D219" i="1"/>
  <c r="D223" i="1"/>
  <c r="D237" i="1"/>
  <c r="D245" i="1"/>
  <c r="D246" i="1"/>
  <c r="D248" i="1"/>
  <c r="D249" i="1"/>
  <c r="D250" i="1"/>
  <c r="D258" i="1"/>
  <c r="D263" i="1"/>
  <c r="D264" i="1" s="1"/>
  <c r="D279" i="1" s="1"/>
  <c r="D280" i="1" s="1"/>
  <c r="D265" i="1"/>
  <c r="D272" i="1"/>
  <c r="D276" i="1"/>
  <c r="D290" i="1"/>
  <c r="D299" i="1"/>
  <c r="C129" i="1"/>
  <c r="C136" i="1"/>
  <c r="C137" i="1"/>
  <c r="C196" i="1"/>
  <c r="C223" i="1"/>
  <c r="C237" i="1"/>
  <c r="C245" i="1"/>
  <c r="C246" i="1"/>
  <c r="C248" i="1"/>
  <c r="C249" i="1"/>
  <c r="C250" i="1"/>
  <c r="C258" i="1"/>
  <c r="C265" i="1"/>
  <c r="C272" i="1"/>
  <c r="C276" i="1"/>
  <c r="C290" i="1"/>
  <c r="C299" i="1"/>
  <c r="F132" i="1"/>
  <c r="F134" i="1"/>
  <c r="F136" i="1"/>
  <c r="F137" i="1"/>
  <c r="F146" i="1"/>
  <c r="F164" i="1"/>
  <c r="F165" i="1" s="1"/>
  <c r="F183" i="1"/>
  <c r="F188" i="1"/>
  <c r="F190" i="1" s="1"/>
  <c r="F196" i="1"/>
  <c r="F218" i="1"/>
  <c r="F223" i="1"/>
  <c r="F237" i="1"/>
  <c r="F240" i="1"/>
  <c r="F241" i="1" s="1"/>
  <c r="F244" i="1" s="1"/>
  <c r="F245" i="1"/>
  <c r="F246" i="1"/>
  <c r="F248" i="1"/>
  <c r="F249" i="1"/>
  <c r="F250" i="1"/>
  <c r="F258" i="1"/>
  <c r="F265" i="1"/>
  <c r="F272" i="1"/>
  <c r="F274" i="1"/>
  <c r="F275" i="1" s="1"/>
  <c r="F279" i="1" s="1"/>
  <c r="F276" i="1"/>
  <c r="F288" i="1"/>
  <c r="F289" i="1" s="1"/>
  <c r="F290" i="1"/>
  <c r="F293" i="1"/>
  <c r="F294" i="1" s="1"/>
  <c r="F299" i="1"/>
  <c r="F129" i="1"/>
  <c r="E132" i="1"/>
  <c r="E134" i="1"/>
  <c r="E136" i="1"/>
  <c r="E137" i="1"/>
  <c r="E163" i="1"/>
  <c r="E129" i="1"/>
  <c r="E121" i="1"/>
  <c r="D121" i="1"/>
  <c r="C121" i="1"/>
  <c r="D135" i="1" l="1"/>
  <c r="E165" i="1"/>
  <c r="E330" i="1"/>
  <c r="E279" i="1"/>
  <c r="E280" i="1" s="1"/>
  <c r="F280" i="1"/>
  <c r="C328" i="1"/>
  <c r="C330" i="1" s="1"/>
  <c r="D330" i="1"/>
  <c r="F298" i="1"/>
  <c r="F330" i="1" s="1"/>
  <c r="F149" i="1"/>
  <c r="F174" i="1" s="1"/>
  <c r="F135" i="1"/>
  <c r="C165" i="1"/>
  <c r="C174" i="1" s="1"/>
  <c r="C190" i="1"/>
  <c r="D190" i="1"/>
  <c r="C280" i="1"/>
  <c r="F185" i="1"/>
  <c r="F195" i="1" s="1"/>
  <c r="E135" i="1"/>
  <c r="F219" i="1"/>
  <c r="C135" i="1"/>
  <c r="C149" i="1"/>
  <c r="E149" i="1"/>
  <c r="D149" i="1"/>
  <c r="D174" i="1" s="1"/>
  <c r="D165" i="1"/>
  <c r="D185" i="1"/>
  <c r="D195" i="1" s="1"/>
  <c r="C185" i="1"/>
  <c r="C195" i="1" s="1"/>
  <c r="E185" i="1"/>
  <c r="E195" i="1" s="1"/>
  <c r="E174" i="1"/>
  <c r="C207" i="1"/>
  <c r="E207" i="1"/>
  <c r="C215" i="1"/>
  <c r="E215" i="1"/>
  <c r="D207" i="1"/>
  <c r="F207" i="1"/>
  <c r="D215" i="1"/>
  <c r="F215" i="1"/>
  <c r="F227" i="1" s="1"/>
  <c r="F128" i="1"/>
  <c r="E128" i="1"/>
  <c r="D128" i="1"/>
  <c r="C128" i="1"/>
  <c r="F127" i="1"/>
  <c r="D127" i="1"/>
  <c r="F126" i="1"/>
  <c r="E126" i="1"/>
  <c r="D126" i="1"/>
  <c r="C126" i="1"/>
  <c r="E125" i="1"/>
  <c r="D125" i="1"/>
  <c r="C125" i="1"/>
  <c r="F124" i="1"/>
  <c r="E124" i="1"/>
  <c r="D124" i="1"/>
  <c r="C124" i="1"/>
  <c r="F123" i="1"/>
  <c r="E123" i="1"/>
  <c r="D123" i="1"/>
  <c r="C123" i="1"/>
  <c r="E122" i="1"/>
  <c r="D122" i="1"/>
  <c r="C122" i="1"/>
  <c r="E227" i="1" l="1"/>
  <c r="F229" i="1"/>
  <c r="D227" i="1"/>
  <c r="D130" i="1"/>
  <c r="D138" i="1" s="1"/>
  <c r="F130" i="1"/>
  <c r="F138" i="1" s="1"/>
  <c r="C227" i="1"/>
  <c r="F112" i="1"/>
  <c r="E112" i="1"/>
  <c r="D112" i="1"/>
  <c r="C112" i="1"/>
  <c r="F113" i="1"/>
  <c r="E127" i="1"/>
  <c r="E130" i="1" s="1"/>
  <c r="E138" i="1" s="1"/>
  <c r="E113" i="1"/>
  <c r="D113" i="1"/>
  <c r="C127" i="1"/>
  <c r="C130" i="1" s="1"/>
  <c r="C138" i="1" s="1"/>
  <c r="C113" i="1"/>
  <c r="F114" i="1" l="1"/>
  <c r="F111" i="1"/>
  <c r="E111" i="1"/>
  <c r="E114" i="1" s="1"/>
  <c r="D111" i="1"/>
  <c r="D114" i="1" s="1"/>
  <c r="D109" i="1" s="1"/>
  <c r="C111" i="1"/>
  <c r="C114" i="1" s="1"/>
  <c r="F108" i="1"/>
  <c r="E108" i="1"/>
  <c r="D108" i="1"/>
  <c r="D107" i="1" s="1"/>
  <c r="C108" i="1"/>
  <c r="F107" i="1"/>
  <c r="F109" i="1" s="1"/>
  <c r="E107" i="1"/>
  <c r="E109" i="1" s="1"/>
  <c r="C107" i="1"/>
  <c r="F104" i="1"/>
  <c r="E104" i="1"/>
  <c r="D104" i="1"/>
  <c r="C104" i="1"/>
  <c r="F103" i="1"/>
  <c r="E103" i="1"/>
  <c r="D103" i="1"/>
  <c r="C103" i="1"/>
  <c r="F102" i="1"/>
  <c r="F105" i="1" s="1"/>
  <c r="E102" i="1"/>
  <c r="E105" i="1" s="1"/>
  <c r="D102" i="1"/>
  <c r="D105" i="1" s="1"/>
  <c r="C102" i="1"/>
  <c r="C105" i="1" s="1"/>
  <c r="F99" i="1"/>
  <c r="E99" i="1"/>
  <c r="D99" i="1"/>
  <c r="C101" i="1"/>
  <c r="C106" i="1"/>
  <c r="C99" i="1"/>
  <c r="F98" i="1"/>
  <c r="F100" i="1" s="1"/>
  <c r="E98" i="1"/>
  <c r="E100" i="1" s="1"/>
  <c r="D98" i="1"/>
  <c r="D100" i="1" s="1"/>
  <c r="C98" i="1"/>
  <c r="C100" i="1" s="1"/>
  <c r="F95" i="1"/>
  <c r="E95" i="1"/>
  <c r="D95" i="1"/>
  <c r="C95" i="1"/>
  <c r="F94" i="1"/>
  <c r="E94" i="1"/>
  <c r="D94" i="1"/>
  <c r="C94" i="1"/>
  <c r="F93" i="1"/>
  <c r="E93" i="1"/>
  <c r="E96" i="1" s="1"/>
  <c r="D93" i="1"/>
  <c r="C93" i="1"/>
  <c r="D92" i="1"/>
  <c r="F92" i="1"/>
  <c r="E92" i="1"/>
  <c r="C92" i="1"/>
  <c r="C96" i="1" s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E90" i="1" s="1"/>
  <c r="D82" i="1"/>
  <c r="C82" i="1"/>
  <c r="F81" i="1"/>
  <c r="F90" i="1" s="1"/>
  <c r="E81" i="1"/>
  <c r="D81" i="1"/>
  <c r="D90" i="1" s="1"/>
  <c r="C81" i="1"/>
  <c r="C90" i="1" s="1"/>
  <c r="C76" i="1"/>
  <c r="F76" i="1"/>
  <c r="E76" i="1"/>
  <c r="D76" i="1"/>
  <c r="F74" i="1"/>
  <c r="E74" i="1"/>
  <c r="D74" i="1"/>
  <c r="C74" i="1"/>
  <c r="F72" i="1"/>
  <c r="E72" i="1"/>
  <c r="D72" i="1"/>
  <c r="C72" i="1"/>
  <c r="F70" i="1"/>
  <c r="E70" i="1"/>
  <c r="D70" i="1"/>
  <c r="C70" i="1"/>
  <c r="F69" i="1"/>
  <c r="E69" i="1"/>
  <c r="D69" i="1"/>
  <c r="C69" i="1"/>
  <c r="F68" i="1"/>
  <c r="E68" i="1"/>
  <c r="D68" i="1"/>
  <c r="D71" i="1" s="1"/>
  <c r="C68" i="1"/>
  <c r="F96" i="1" l="1"/>
  <c r="C115" i="1"/>
  <c r="E115" i="1"/>
  <c r="C109" i="1"/>
  <c r="F115" i="1"/>
  <c r="E71" i="1"/>
  <c r="F71" i="1"/>
  <c r="D96" i="1"/>
  <c r="D115" i="1" s="1"/>
  <c r="F67" i="1"/>
  <c r="F77" i="1"/>
  <c r="F75" i="1"/>
  <c r="F101" i="1"/>
  <c r="F106" i="1"/>
  <c r="F65" i="1"/>
  <c r="E65" i="1"/>
  <c r="D65" i="1"/>
  <c r="C65" i="1"/>
  <c r="F64" i="1"/>
  <c r="E67" i="1"/>
  <c r="E77" i="1"/>
  <c r="E75" i="1"/>
  <c r="E101" i="1"/>
  <c r="E106" i="1"/>
  <c r="E64" i="1"/>
  <c r="D64" i="1"/>
  <c r="C64" i="1"/>
  <c r="F63" i="1"/>
  <c r="E63" i="1"/>
  <c r="D63" i="1"/>
  <c r="C63" i="1"/>
  <c r="F62" i="1"/>
  <c r="E62" i="1"/>
  <c r="D62" i="1"/>
  <c r="C62" i="1"/>
  <c r="C66" i="1" s="1"/>
  <c r="F54" i="1"/>
  <c r="E54" i="1"/>
  <c r="D54" i="1"/>
  <c r="F52" i="1"/>
  <c r="E52" i="1"/>
  <c r="D52" i="1"/>
  <c r="C52" i="1"/>
  <c r="F51" i="1"/>
  <c r="F53" i="1" s="1"/>
  <c r="E51" i="1"/>
  <c r="E53" i="1" s="1"/>
  <c r="D51" i="1"/>
  <c r="D53" i="1" s="1"/>
  <c r="C51" i="1"/>
  <c r="C53" i="1" s="1"/>
  <c r="F49" i="1"/>
  <c r="E49" i="1"/>
  <c r="D49" i="1"/>
  <c r="C49" i="1"/>
  <c r="F48" i="1"/>
  <c r="F50" i="1" s="1"/>
  <c r="E48" i="1"/>
  <c r="E50" i="1" s="1"/>
  <c r="D48" i="1"/>
  <c r="C48" i="1"/>
  <c r="C50" i="1" s="1"/>
  <c r="F45" i="1"/>
  <c r="E45" i="1"/>
  <c r="D45" i="1"/>
  <c r="C45" i="1"/>
  <c r="D50" i="1"/>
  <c r="D67" i="1"/>
  <c r="D77" i="1"/>
  <c r="D75" i="1"/>
  <c r="D101" i="1"/>
  <c r="D106" i="1"/>
  <c r="F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46" i="1" s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F37" i="1" s="1"/>
  <c r="E33" i="1"/>
  <c r="E37" i="1" s="1"/>
  <c r="D33" i="1"/>
  <c r="D37" i="1" s="1"/>
  <c r="C33" i="1"/>
  <c r="D66" i="1" l="1"/>
  <c r="D116" i="1" s="1"/>
  <c r="F66" i="1"/>
  <c r="F116" i="1"/>
  <c r="E66" i="1"/>
  <c r="C37" i="1"/>
  <c r="F46" i="1"/>
  <c r="F29" i="1"/>
  <c r="E29" i="1"/>
  <c r="D29" i="1"/>
  <c r="C29" i="1"/>
  <c r="F28" i="1"/>
  <c r="E28" i="1"/>
  <c r="D28" i="1"/>
  <c r="C28" i="1"/>
  <c r="E27" i="1"/>
  <c r="F27" i="1"/>
  <c r="D27" i="1"/>
  <c r="C27" i="1"/>
  <c r="F26" i="1"/>
  <c r="E26" i="1"/>
  <c r="D26" i="1"/>
  <c r="C26" i="1"/>
  <c r="F25" i="1"/>
  <c r="E25" i="1"/>
  <c r="D25" i="1"/>
  <c r="C25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C31" i="1" l="1"/>
  <c r="C55" i="1" s="1"/>
  <c r="F8" i="1"/>
  <c r="E8" i="1"/>
  <c r="D8" i="1"/>
  <c r="C8" i="1"/>
  <c r="F7" i="1"/>
  <c r="E7" i="1"/>
  <c r="D7" i="1"/>
  <c r="C7" i="1"/>
  <c r="F6" i="1"/>
  <c r="E6" i="1"/>
  <c r="D6" i="1"/>
  <c r="C6" i="1"/>
  <c r="F15" i="1"/>
  <c r="F17" i="1"/>
  <c r="F20" i="1"/>
  <c r="F24" i="1"/>
  <c r="F30" i="1"/>
  <c r="F31" i="1" s="1"/>
  <c r="F55" i="1" s="1"/>
  <c r="E15" i="1"/>
  <c r="E17" i="1"/>
  <c r="E20" i="1"/>
  <c r="E24" i="1"/>
  <c r="E30" i="1"/>
  <c r="E31" i="1" s="1"/>
  <c r="E44" i="1"/>
  <c r="E46" i="1" s="1"/>
  <c r="D15" i="1"/>
  <c r="D17" i="1"/>
  <c r="D20" i="1"/>
  <c r="D24" i="1"/>
  <c r="D30" i="1"/>
  <c r="D31" i="1" s="1"/>
  <c r="D44" i="1"/>
  <c r="D46" i="1" s="1"/>
  <c r="C15" i="1"/>
  <c r="C17" i="1"/>
  <c r="C20" i="1"/>
  <c r="C24" i="1"/>
  <c r="C30" i="1"/>
  <c r="C67" i="1"/>
  <c r="C71" i="1" s="1"/>
  <c r="C75" i="1"/>
  <c r="F5" i="1"/>
  <c r="E5" i="1"/>
  <c r="E9" i="1" s="1"/>
  <c r="D5" i="1"/>
  <c r="C5" i="1"/>
  <c r="C9" i="1" s="1"/>
  <c r="D9" i="1" l="1"/>
  <c r="F9" i="1"/>
  <c r="F19" i="1" s="1"/>
  <c r="F57" i="1" s="1"/>
  <c r="E55" i="1"/>
  <c r="D55" i="1"/>
  <c r="C77" i="1"/>
  <c r="C19" i="1"/>
  <c r="C57" i="1" s="1"/>
  <c r="E19" i="1"/>
  <c r="D19" i="1"/>
  <c r="D57" i="1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<sst xmlns="http://schemas.openxmlformats.org/spreadsheetml/2006/main" count="1193" uniqueCount="306">
  <si>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</si>
  <si>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</si>
  <si>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</si>
  <si>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</si>
  <si>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</si>
  <si>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</si>
  <si>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</si>
  <si>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</si>
  <si>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</si>
  <si>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</si>
  <si>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</si>
  <si>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</si>
  <si>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</si>
  <si>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</si>
  <si>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</si>
  <si>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</si>
  <si>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</si>
  <si>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</si>
  <si>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</si>
  <si>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</si>
  <si>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</si>
  <si>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</si>
  <si>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</si>
  <si>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</si>
  <si>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</si>
  <si>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</si>
  <si>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</si>
  <si>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</si>
  <si>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</si>
  <si>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</si>
  <si>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</si>
  <si>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</si>
  <si>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</si>
  <si>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</si>
  <si>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</si>
  <si>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</si>
  <si>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</si>
  <si>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</si>
  <si>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</si>
  <si>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</si>
  <si>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</si>
  <si>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</si>
  <si>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</si>
  <si>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</si>
  <si>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</si>
  <si>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</si>
  <si>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</si>
  <si>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</si>
  <si>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</si>
  <si>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</si>
  <si>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</si>
  <si>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</si>
  <si>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</si>
  <si>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</si>
  <si>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</si>
  <si>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</si>
  <si>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</si>
  <si>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</si>
  <si>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</si>
  <si>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</si>
  <si>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</si>
  <si>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</si>
  <si>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</si>
  <si>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</si>
  <si>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</si>
  <si>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</si>
  <si>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</si>
  <si>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</si>
  <si>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</si>
  <si>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</si>
  <si>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</si>
  <si>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</si>
  <si>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</si>
  <si>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</si>
  <si>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</si>
  <si>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</si>
  <si>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</si>
  <si>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</si>
  <si>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</si>
  <si>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</si>
  <si>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</si>
  <si>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</si>
  <si>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</si>
  <si>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</si>
  <si>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</si>
  <si>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</si>
  <si>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</si>
  <si>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</si>
  <si>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</si>
  <si>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</si>
  <si>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</si>
  <si>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</si>
  <si>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</si>
  <si>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</si>
  <si>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</si>
  <si>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</si>
  <si>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</si>
  <si>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</si>
  <si>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</si>
  <si>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</si>
  <si>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</si>
  <si>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</si>
  <si>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</si>
  <si>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</si>
  <si>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</si>
  <si>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</si>
  <si>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1 - 4 класс                   1 неделя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</si>
  <si>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</si>
  <si>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</si>
  <si>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</si>
  <si>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</si>
  <si>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</si>
  <si>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</si>
  <si>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</si>
  <si>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</si>
  <si>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</si>
  <si>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</si>
  <si>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</si>
  <si>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</si>
  <si>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</si>
  <si>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</si>
  <si>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</si>
  <si>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</si>
  <si>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</si>
  <si>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</si>
  <si>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</si>
  <si>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</si>
  <si>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</si>
  <si>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</si>
  <si>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</si>
  <si>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</si>
  <si>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</si>
  <si>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</si>
  <si>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</si>
  <si>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</si>
  <si>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</si>
  <si>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</si>
  <si>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</si>
  <si>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</si>
  <si>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</si>
  <si>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</si>
  <si>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</si>
  <si>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</si>
  <si>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</si>
  <si>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</si>
  <si>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</si>
  <si>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</si>
  <si>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</si>
  <si>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</si>
  <si>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</si>
  <si>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</si>
  <si>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</si>
  <si>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</si>
  <si>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</si>
  <si>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</si>
  <si>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</si>
  <si>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</si>
  <si>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</si>
  <si>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</si>
  <si>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</si>
  <si>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</si>
  <si>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</si>
  <si>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</si>
  <si>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</si>
  <si>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</si>
  <si>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</si>
  <si>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</si>
  <si>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</si>
  <si>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</si>
  <si>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</si>
  <si>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</si>
  <si>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</si>
  <si>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</si>
  <si>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</si>
  <si>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</si>
  <si>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</si>
  <si>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</si>
  <si>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</si>
  <si>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</si>
  <si>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</si>
  <si>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</si>
  <si>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</si>
  <si>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</si>
  <si>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</si>
  <si>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</si>
  <si>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</si>
  <si>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</si>
  <si>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</si>
  <si>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</si>
  <si>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</si>
  <si>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</si>
  <si>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</si>
  <si>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</si>
  <si>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Плов с говядиной: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</si>
  <si>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</si>
  <si>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</si>
  <si>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</si>
  <si>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</si>
  <si>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</si>
  <si>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</si>
  <si>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</si>
  <si>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</si>
  <si>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</si>
  <si>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</si>
  <si>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</si>
  <si>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</si>
  <si>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</si>
  <si>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</si>
  <si>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</si>
  <si>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</si>
  <si>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</si>
  <si>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</si>
  <si>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</si>
  <si>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</si>
  <si>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</si>
  <si>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</si>
  <si>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</si>
  <si>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</si>
  <si>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</si>
  <si>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</si>
  <si>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</si>
  <si>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</si>
  <si>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Курага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</si>
  <si>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</si>
  <si>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</si>
  <si>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</si>
  <si>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</si>
  <si>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</si>
  <si>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</si>
  <si>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</si>
  <si>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</si>
  <si>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№32</t>
  </si>
  <si>
    <t>Суп рыбный:</t>
  </si>
  <si>
    <t>Рыба свежая (теска , хек, минтай)</t>
  </si>
  <si>
    <t>Сухофрукты ( яблоко сушеное)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</si>
  <si>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</si>
  <si>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</si>
  <si>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</si>
  <si>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</si>
  <si>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</si>
  <si>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</si>
  <si>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</si>
  <si>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</si>
  <si>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</si>
  <si>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</si>
  <si>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</si>
  <si>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Лимонный напиток:</t>
  </si>
  <si>
    <t>Лимонный свежий</t>
  </si>
  <si>
    <t>№44</t>
  </si>
  <si>
    <t>№45</t>
  </si>
  <si>
    <t>№46</t>
  </si>
  <si>
    <t>№47</t>
  </si>
  <si>
    <t>№48</t>
  </si>
  <si>
    <t>8 День</t>
  </si>
  <si>
    <t>№50</t>
  </si>
  <si>
    <t>№51</t>
  </si>
  <si>
    <t>№52</t>
  </si>
  <si>
    <t>№53</t>
  </si>
  <si>
    <t>Сок фруктовый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</si>
  <si>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</si>
  <si>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</si>
  <si>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</si>
  <si>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</si>
  <si>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</si>
  <si>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</si>
  <si>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</si>
  <si>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</si>
  <si>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</si>
  <si>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</si>
  <si>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Итого 7день:</t>
  </si>
  <si>
    <t>Салат из свежих огурцов и редиса:</t>
  </si>
  <si>
    <t>Огурец свежий</t>
  </si>
  <si>
    <t>Редис свежий</t>
  </si>
  <si>
    <t>Курица</t>
  </si>
  <si>
    <t>Суп вермишелевый с курицей:</t>
  </si>
  <si>
    <t>Макаронные изделия отварные:</t>
  </si>
  <si>
    <t>Вермишель молочная: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</si>
  <si>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</si>
  <si>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</si>
  <si>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</si>
  <si>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</si>
  <si>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</si>
  <si>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</si>
  <si>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</si>
  <si>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Курица отварная (порционно):</t>
  </si>
  <si>
    <t>№46а</t>
  </si>
  <si>
    <t>5 - 11 класс</t>
  </si>
  <si>
    <t>250/8</t>
  </si>
  <si>
    <t>210/40</t>
  </si>
  <si>
    <t>45/50</t>
  </si>
  <si>
    <t>250/10</t>
  </si>
  <si>
    <t xml:space="preserve">     250/8 </t>
  </si>
  <si>
    <t>165/40</t>
  </si>
  <si>
    <t>60/40</t>
  </si>
  <si>
    <t>45/40</t>
  </si>
  <si>
    <t>235/30</t>
  </si>
  <si>
    <t>230/20</t>
  </si>
  <si>
    <t>110/40</t>
  </si>
  <si>
    <t>Котлета куриная:</t>
  </si>
  <si>
    <t>Курица 1 категории</t>
  </si>
  <si>
    <t>Имтого:</t>
  </si>
  <si>
    <t>Биточки мясные:</t>
  </si>
  <si>
    <t xml:space="preserve">Макаронные изделия </t>
  </si>
  <si>
    <t>Макаронные изделия отварные :</t>
  </si>
  <si>
    <t>Огурец свежий:</t>
  </si>
  <si>
    <t>№38а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</si>
</sst>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"/>
  <sheetViews>
    <sheetView view="pageBreakPreview" topLeftCell="A302" zoomScaleNormal="100" zoomScaleSheetLayoutView="100" workbookViewId="0">
      <selection activeCell="J259" sqref="J259"/>
    </sheetView>
  </sheetViews>
  <sheetFormatPr defaultRowHeight="15" x14ac:dyDescent="0.2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 x14ac:dyDescent="0.25">
      <c r="A1" s="5" t="s">
        <v>106</v>
      </c>
    </row>
    <row r="2" spans="1:8" ht="17.25" customHeight="1" x14ac:dyDescent="0.25">
      <c r="A2" s="2" t="s">
        <v>10</v>
      </c>
    </row>
    <row r="3" spans="1:8" ht="15.75" customHeight="1" x14ac:dyDescent="0.25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 x14ac:dyDescent="0.25">
      <c r="A4" s="1" t="s">
        <v>34</v>
      </c>
      <c r="B4" s="7"/>
      <c r="C4" s="7"/>
      <c r="D4" s="7"/>
      <c r="E4" s="7"/>
      <c r="F4" s="7"/>
      <c r="G4" s="7"/>
      <c r="H4" s="1"/>
    </row>
    <row r="5" spans="1:8" x14ac:dyDescent="0.25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 x14ac:dyDescent="0.25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 x14ac:dyDescent="0.25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 x14ac:dyDescent="0.25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 x14ac:dyDescent="0.25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 x14ac:dyDescent="0.25">
      <c r="A10" s="1" t="s">
        <v>188</v>
      </c>
      <c r="B10" s="7"/>
      <c r="C10" s="7"/>
      <c r="D10" s="7"/>
      <c r="E10" s="7"/>
      <c r="F10" s="7"/>
      <c r="G10" s="5"/>
      <c r="H10" s="1"/>
    </row>
    <row r="11" spans="1:8" x14ac:dyDescent="0.25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 x14ac:dyDescent="0.25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 x14ac:dyDescent="0.25">
      <c r="A13" s="1"/>
      <c r="B13" s="7"/>
      <c r="C13" s="7"/>
      <c r="D13" s="7"/>
      <c r="E13" s="7"/>
      <c r="F13" s="7"/>
      <c r="G13" s="5">
        <v>200</v>
      </c>
      <c r="H13" s="1"/>
    </row>
    <row r="14" spans="1:8" x14ac:dyDescent="0.25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 x14ac:dyDescent="0.25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 x14ac:dyDescent="0.25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 x14ac:dyDescent="0.25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 x14ac:dyDescent="0.25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 x14ac:dyDescent="0.25">
      <c r="A19" s="2" t="s">
        <v>118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 x14ac:dyDescent="0.25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 x14ac:dyDescent="0.25">
      <c r="A21" s="2" t="s">
        <v>182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 x14ac:dyDescent="0.25">
      <c r="A22" s="1"/>
      <c r="B22" s="7"/>
      <c r="C22" s="7"/>
      <c r="D22" s="7"/>
      <c r="E22" s="7"/>
      <c r="F22" s="7"/>
      <c r="G22" s="7"/>
      <c r="H22" s="1"/>
    </row>
    <row r="23" spans="1:8" x14ac:dyDescent="0.25">
      <c r="A23" s="2" t="s">
        <v>33</v>
      </c>
      <c r="B23" s="7"/>
      <c r="C23" s="7"/>
      <c r="D23" s="7"/>
      <c r="E23" s="7"/>
      <c r="F23" s="7"/>
      <c r="G23" s="7"/>
      <c r="H23" s="1"/>
    </row>
    <row r="24" spans="1:8" x14ac:dyDescent="0.25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 x14ac:dyDescent="0.25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 x14ac:dyDescent="0.25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 x14ac:dyDescent="0.25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 x14ac:dyDescent="0.25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 x14ac:dyDescent="0.25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 x14ac:dyDescent="0.25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 x14ac:dyDescent="0.25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 x14ac:dyDescent="0.25">
      <c r="A32" s="1" t="s">
        <v>24</v>
      </c>
      <c r="B32" s="7"/>
      <c r="C32" s="7"/>
      <c r="D32" s="7"/>
      <c r="E32" s="7"/>
      <c r="F32" s="7"/>
      <c r="G32" s="7"/>
      <c r="H32" s="1"/>
    </row>
    <row r="33" spans="1:8" x14ac:dyDescent="0.25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 x14ac:dyDescent="0.25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 x14ac:dyDescent="0.25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 x14ac:dyDescent="0.25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 x14ac:dyDescent="0.25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 x14ac:dyDescent="0.25">
      <c r="A38" s="1" t="s">
        <v>23</v>
      </c>
      <c r="B38" s="7"/>
      <c r="C38" s="7"/>
      <c r="D38" s="7"/>
      <c r="E38" s="7"/>
      <c r="F38" s="7"/>
      <c r="G38" s="7"/>
      <c r="H38" s="1"/>
    </row>
    <row r="39" spans="1:8" x14ac:dyDescent="0.25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 x14ac:dyDescent="0.25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 x14ac:dyDescent="0.25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 x14ac:dyDescent="0.25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 x14ac:dyDescent="0.25">
      <c r="A47" s="1" t="s">
        <v>29</v>
      </c>
      <c r="B47" s="7"/>
      <c r="C47" s="7"/>
      <c r="D47" s="7"/>
      <c r="E47" s="7"/>
      <c r="F47" s="7"/>
      <c r="G47" s="7"/>
      <c r="H47" s="1"/>
    </row>
    <row r="48" spans="1:8" x14ac:dyDescent="0.25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 x14ac:dyDescent="0.25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 x14ac:dyDescent="0.25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 x14ac:dyDescent="0.25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 x14ac:dyDescent="0.25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 x14ac:dyDescent="0.25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 x14ac:dyDescent="0.25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 x14ac:dyDescent="0.25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 x14ac:dyDescent="0.25">
      <c r="A56" s="1"/>
      <c r="B56" s="7"/>
      <c r="C56" s="18"/>
      <c r="D56" s="7"/>
      <c r="E56" s="7"/>
      <c r="F56" s="7"/>
      <c r="G56" s="5"/>
      <c r="H56" s="1"/>
    </row>
    <row r="57" spans="1:8" ht="15.75" x14ac:dyDescent="0.25">
      <c r="A57" s="14" t="s">
        <v>185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 x14ac:dyDescent="0.25">
      <c r="A58" s="1"/>
      <c r="B58" s="7"/>
      <c r="C58" s="7"/>
      <c r="D58" s="7"/>
      <c r="E58" s="7"/>
      <c r="F58" s="7"/>
      <c r="G58" s="7"/>
      <c r="H58" s="1"/>
    </row>
    <row r="59" spans="1:8" x14ac:dyDescent="0.25">
      <c r="A59" s="1"/>
      <c r="B59" s="7"/>
      <c r="C59" s="7"/>
      <c r="D59" s="7"/>
      <c r="E59" s="7"/>
      <c r="F59" s="7"/>
      <c r="G59" s="7"/>
      <c r="H59" s="1"/>
    </row>
    <row r="60" spans="1:8" x14ac:dyDescent="0.25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 x14ac:dyDescent="0.25">
      <c r="A61" s="1" t="s">
        <v>37</v>
      </c>
      <c r="B61" s="7"/>
      <c r="C61" s="7"/>
      <c r="D61" s="7"/>
      <c r="E61" s="7"/>
      <c r="F61" s="7"/>
      <c r="G61" s="7"/>
      <c r="H61" s="1"/>
    </row>
    <row r="62" spans="1:8" x14ac:dyDescent="0.25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 x14ac:dyDescent="0.25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 x14ac:dyDescent="0.25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 x14ac:dyDescent="0.25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 x14ac:dyDescent="0.25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 x14ac:dyDescent="0.25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 x14ac:dyDescent="0.25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 x14ac:dyDescent="0.25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 x14ac:dyDescent="0.25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 x14ac:dyDescent="0.25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 x14ac:dyDescent="0.25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 x14ac:dyDescent="0.25">
      <c r="A73" s="1"/>
      <c r="B73" s="7"/>
      <c r="C73" s="7"/>
      <c r="D73" s="7"/>
      <c r="E73" s="7"/>
      <c r="F73" s="7"/>
      <c r="G73" s="5"/>
      <c r="H73" s="1"/>
    </row>
    <row r="74" spans="1:8" x14ac:dyDescent="0.25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 x14ac:dyDescent="0.25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 x14ac:dyDescent="0.25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 x14ac:dyDescent="0.25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 x14ac:dyDescent="0.25">
      <c r="A78" s="2" t="s">
        <v>183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 x14ac:dyDescent="0.25">
      <c r="A79" s="1" t="s">
        <v>33</v>
      </c>
      <c r="B79" s="7"/>
      <c r="C79" s="7"/>
      <c r="D79" s="7"/>
      <c r="E79" s="7"/>
      <c r="F79" s="7"/>
      <c r="G79" s="7"/>
      <c r="H79" s="1"/>
    </row>
    <row r="80" spans="1:8" x14ac:dyDescent="0.25">
      <c r="A80" s="1" t="s">
        <v>43</v>
      </c>
      <c r="B80" s="7"/>
      <c r="C80" s="7"/>
      <c r="D80" s="7"/>
      <c r="E80" s="7"/>
      <c r="F80" s="7"/>
      <c r="G80" s="7"/>
      <c r="H80" s="1"/>
    </row>
    <row r="81" spans="1:8" x14ac:dyDescent="0.25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 x14ac:dyDescent="0.25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 x14ac:dyDescent="0.25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 x14ac:dyDescent="0.25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 x14ac:dyDescent="0.25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 x14ac:dyDescent="0.25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 x14ac:dyDescent="0.25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 x14ac:dyDescent="0.25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 x14ac:dyDescent="0.25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 x14ac:dyDescent="0.25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 x14ac:dyDescent="0.25">
      <c r="A91" s="1" t="s">
        <v>46</v>
      </c>
      <c r="B91" s="7"/>
      <c r="C91" s="7"/>
      <c r="D91" s="7"/>
      <c r="E91" s="7"/>
      <c r="F91" s="7"/>
      <c r="G91" s="5"/>
      <c r="H91" s="1"/>
    </row>
    <row r="92" spans="1:8" x14ac:dyDescent="0.25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 x14ac:dyDescent="0.25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 x14ac:dyDescent="0.25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 x14ac:dyDescent="0.25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 x14ac:dyDescent="0.25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 x14ac:dyDescent="0.25">
      <c r="A97" s="1" t="s">
        <v>50</v>
      </c>
      <c r="B97" s="7"/>
      <c r="C97" s="7"/>
      <c r="D97" s="7"/>
      <c r="E97" s="7"/>
      <c r="F97" s="7"/>
      <c r="G97" s="5"/>
      <c r="H97" s="1"/>
    </row>
    <row r="98" spans="1:8" x14ac:dyDescent="0.25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 x14ac:dyDescent="0.25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 x14ac:dyDescent="0.25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 x14ac:dyDescent="0.25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 x14ac:dyDescent="0.25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 x14ac:dyDescent="0.25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 x14ac:dyDescent="0.25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 x14ac:dyDescent="0.25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 x14ac:dyDescent="0.25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 x14ac:dyDescent="0.25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 x14ac:dyDescent="0.25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 x14ac:dyDescent="0.25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 x14ac:dyDescent="0.25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 x14ac:dyDescent="0.25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 x14ac:dyDescent="0.25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 x14ac:dyDescent="0.25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 x14ac:dyDescent="0.25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 x14ac:dyDescent="0.25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 x14ac:dyDescent="0.25">
      <c r="A116" s="15" t="s">
        <v>184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 x14ac:dyDescent="0.25">
      <c r="A117" s="15"/>
      <c r="B117" s="16"/>
      <c r="C117" s="16"/>
      <c r="D117" s="16"/>
      <c r="E117" s="16"/>
      <c r="F117" s="17"/>
      <c r="G117" s="5"/>
      <c r="H117" s="1"/>
    </row>
    <row r="118" spans="1:8" x14ac:dyDescent="0.25">
      <c r="A118" s="1"/>
      <c r="B118" s="7"/>
      <c r="C118" s="10"/>
      <c r="D118" s="10"/>
      <c r="E118" s="10"/>
      <c r="F118" s="7"/>
      <c r="G118" s="7"/>
      <c r="H118" s="1"/>
    </row>
    <row r="119" spans="1:8" x14ac:dyDescent="0.25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 x14ac:dyDescent="0.25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 x14ac:dyDescent="0.25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 x14ac:dyDescent="0.25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 x14ac:dyDescent="0.25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 x14ac:dyDescent="0.25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 x14ac:dyDescent="0.25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 x14ac:dyDescent="0.25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 x14ac:dyDescent="0.25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 x14ac:dyDescent="0.25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 x14ac:dyDescent="0.25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 x14ac:dyDescent="0.25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 x14ac:dyDescent="0.25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 x14ac:dyDescent="0.25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 x14ac:dyDescent="0.25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 x14ac:dyDescent="0.25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 x14ac:dyDescent="0.25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 x14ac:dyDescent="0.25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 x14ac:dyDescent="0.25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 x14ac:dyDescent="0.25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 x14ac:dyDescent="0.25">
      <c r="A139" s="2" t="s">
        <v>145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 x14ac:dyDescent="0.25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 x14ac:dyDescent="0.25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 x14ac:dyDescent="0.25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 x14ac:dyDescent="0.25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 x14ac:dyDescent="0.25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 x14ac:dyDescent="0.25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 x14ac:dyDescent="0.25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 x14ac:dyDescent="0.25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 x14ac:dyDescent="0.25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 x14ac:dyDescent="0.25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 x14ac:dyDescent="0.25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 x14ac:dyDescent="0.25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 x14ac:dyDescent="0.25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 x14ac:dyDescent="0.25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 x14ac:dyDescent="0.25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 x14ac:dyDescent="0.25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 x14ac:dyDescent="0.25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 x14ac:dyDescent="0.25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 x14ac:dyDescent="0.25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 x14ac:dyDescent="0.25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 x14ac:dyDescent="0.25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 x14ac:dyDescent="0.25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 x14ac:dyDescent="0.25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 x14ac:dyDescent="0.25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 x14ac:dyDescent="0.25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 x14ac:dyDescent="0.25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 x14ac:dyDescent="0.25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 x14ac:dyDescent="0.25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 x14ac:dyDescent="0.25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 x14ac:dyDescent="0.25">
      <c r="A169" s="1"/>
      <c r="B169" s="8"/>
      <c r="C169" s="10"/>
      <c r="D169" s="10"/>
      <c r="E169" s="10"/>
      <c r="F169" s="10"/>
      <c r="G169" s="7"/>
      <c r="H169" s="1"/>
    </row>
    <row r="170" spans="1:8" x14ac:dyDescent="0.25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 x14ac:dyDescent="0.25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 x14ac:dyDescent="0.25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 x14ac:dyDescent="0.25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 x14ac:dyDescent="0.25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 x14ac:dyDescent="0.25">
      <c r="A175" s="1"/>
      <c r="B175" s="7"/>
      <c r="C175" s="10"/>
      <c r="D175" s="10"/>
      <c r="E175" s="10"/>
      <c r="F175" s="10"/>
      <c r="G175" s="7"/>
      <c r="H175" s="1"/>
    </row>
    <row r="176" spans="1:8" x14ac:dyDescent="0.25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 x14ac:dyDescent="0.25">
      <c r="A177" s="15"/>
      <c r="B177" s="16"/>
      <c r="C177" s="16"/>
      <c r="D177" s="16"/>
      <c r="E177" s="16"/>
      <c r="F177" s="16"/>
      <c r="G177" s="7"/>
      <c r="H177" s="1"/>
    </row>
    <row r="178" spans="1:8" x14ac:dyDescent="0.25">
      <c r="A178" s="1"/>
      <c r="B178" s="7"/>
      <c r="C178" s="10"/>
      <c r="D178" s="10"/>
      <c r="E178" s="10"/>
      <c r="F178" s="10"/>
      <c r="G178" s="7"/>
      <c r="H178" s="1"/>
    </row>
    <row r="179" spans="1:8" x14ac:dyDescent="0.25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 x14ac:dyDescent="0.25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 x14ac:dyDescent="0.25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 x14ac:dyDescent="0.25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 x14ac:dyDescent="0.25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 x14ac:dyDescent="0.25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 x14ac:dyDescent="0.25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 x14ac:dyDescent="0.25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 x14ac:dyDescent="0.25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 x14ac:dyDescent="0.25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 x14ac:dyDescent="0.25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 x14ac:dyDescent="0.25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 x14ac:dyDescent="0.25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 x14ac:dyDescent="0.25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 x14ac:dyDescent="0.25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 x14ac:dyDescent="0.25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 x14ac:dyDescent="0.25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 x14ac:dyDescent="0.25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 x14ac:dyDescent="0.25">
      <c r="A197" s="2" t="s">
        <v>190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 x14ac:dyDescent="0.25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 x14ac:dyDescent="0.25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 x14ac:dyDescent="0.25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 x14ac:dyDescent="0.25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 x14ac:dyDescent="0.25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 x14ac:dyDescent="0.25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 x14ac:dyDescent="0.25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 x14ac:dyDescent="0.25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 x14ac:dyDescent="0.25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 x14ac:dyDescent="0.25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 x14ac:dyDescent="0.25">
      <c r="A208" s="3"/>
      <c r="B208" s="10"/>
      <c r="C208" s="10"/>
      <c r="D208" s="10"/>
      <c r="E208" s="10"/>
      <c r="F208" s="10"/>
      <c r="G208" s="10"/>
      <c r="H208" s="3"/>
    </row>
    <row r="209" spans="1:8" x14ac:dyDescent="0.25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 x14ac:dyDescent="0.25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 x14ac:dyDescent="0.25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 x14ac:dyDescent="0.25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 x14ac:dyDescent="0.25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 x14ac:dyDescent="0.25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 x14ac:dyDescent="0.25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 x14ac:dyDescent="0.25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 x14ac:dyDescent="0.25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 x14ac:dyDescent="0.25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 x14ac:dyDescent="0.25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 x14ac:dyDescent="0.25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 x14ac:dyDescent="0.25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 x14ac:dyDescent="0.25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 x14ac:dyDescent="0.25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 x14ac:dyDescent="0.25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 x14ac:dyDescent="0.25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 x14ac:dyDescent="0.25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 x14ac:dyDescent="0.25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 x14ac:dyDescent="0.25">
      <c r="A228" s="3"/>
      <c r="B228" s="10"/>
      <c r="C228" s="10"/>
      <c r="D228" s="10"/>
      <c r="E228" s="10"/>
      <c r="F228" s="10"/>
      <c r="G228" s="10"/>
      <c r="H228" s="3"/>
    </row>
    <row r="229" spans="1:8" x14ac:dyDescent="0.25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 x14ac:dyDescent="0.25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 x14ac:dyDescent="0.25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 x14ac:dyDescent="0.25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 x14ac:dyDescent="0.25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 x14ac:dyDescent="0.25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 x14ac:dyDescent="0.25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 x14ac:dyDescent="0.25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 x14ac:dyDescent="0.25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 x14ac:dyDescent="0.25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 x14ac:dyDescent="0.25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 x14ac:dyDescent="0.25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 x14ac:dyDescent="0.25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 x14ac:dyDescent="0.25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 x14ac:dyDescent="0.25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 x14ac:dyDescent="0.25">
      <c r="A244" s="2" t="s">
        <v>189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 x14ac:dyDescent="0.25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 x14ac:dyDescent="0.25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 x14ac:dyDescent="0.25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 x14ac:dyDescent="0.25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 x14ac:dyDescent="0.25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 x14ac:dyDescent="0.25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 x14ac:dyDescent="0.25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 x14ac:dyDescent="0.25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 x14ac:dyDescent="0.25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 x14ac:dyDescent="0.25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 x14ac:dyDescent="0.25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 x14ac:dyDescent="0.25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 x14ac:dyDescent="0.25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 x14ac:dyDescent="0.25">
      <c r="A258" s="1" t="s">
        <v>107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 x14ac:dyDescent="0.25">
      <c r="A259" s="1" t="s">
        <v>108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 x14ac:dyDescent="0.25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 x14ac:dyDescent="0.25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 x14ac:dyDescent="0.25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 x14ac:dyDescent="0.25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 x14ac:dyDescent="0.25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 x14ac:dyDescent="0.25">
      <c r="A265" s="1" t="s">
        <v>109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 x14ac:dyDescent="0.25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 x14ac:dyDescent="0.25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 x14ac:dyDescent="0.25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 x14ac:dyDescent="0.25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 x14ac:dyDescent="0.25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 x14ac:dyDescent="0.25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 x14ac:dyDescent="0.25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 x14ac:dyDescent="0.25">
      <c r="A273" s="1" t="s">
        <v>110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 x14ac:dyDescent="0.25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 x14ac:dyDescent="0.25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 x14ac:dyDescent="0.25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 x14ac:dyDescent="0.25">
      <c r="A277" s="1" t="s">
        <v>111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 x14ac:dyDescent="0.25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 x14ac:dyDescent="0.25">
      <c r="A279" s="2" t="s">
        <v>112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 x14ac:dyDescent="0.25">
      <c r="A280" s="14" t="s">
        <v>186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 x14ac:dyDescent="0.25">
      <c r="A281" s="1"/>
      <c r="B281" s="7"/>
      <c r="C281" s="10"/>
      <c r="D281" s="10"/>
      <c r="E281" s="10"/>
      <c r="F281" s="10"/>
      <c r="G281" s="7"/>
      <c r="H281" s="1"/>
    </row>
    <row r="282" spans="1:8" x14ac:dyDescent="0.25">
      <c r="A282" s="15" t="s">
        <v>113</v>
      </c>
      <c r="B282" s="7"/>
      <c r="C282" s="10"/>
      <c r="D282" s="10"/>
      <c r="E282" s="10"/>
      <c r="F282" s="10"/>
      <c r="G282" s="7"/>
      <c r="H282" s="2" t="s">
        <v>114</v>
      </c>
    </row>
    <row r="283" spans="1:8" x14ac:dyDescent="0.25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 x14ac:dyDescent="0.25">
      <c r="A284" s="1" t="s">
        <v>115</v>
      </c>
      <c r="B284" s="8"/>
      <c r="C284" s="10"/>
      <c r="D284" s="10"/>
      <c r="E284" s="10"/>
      <c r="F284" s="10"/>
      <c r="G284" s="7"/>
      <c r="H284" s="1"/>
    </row>
    <row r="285" spans="1:8" x14ac:dyDescent="0.25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 x14ac:dyDescent="0.25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 x14ac:dyDescent="0.25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 x14ac:dyDescent="0.25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 x14ac:dyDescent="0.25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 x14ac:dyDescent="0.25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 x14ac:dyDescent="0.25">
      <c r="A291" s="1" t="s">
        <v>116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 x14ac:dyDescent="0.25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 x14ac:dyDescent="0.25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 x14ac:dyDescent="0.25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 x14ac:dyDescent="0.25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 x14ac:dyDescent="0.25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 x14ac:dyDescent="0.25">
      <c r="A297" s="1" t="s">
        <v>117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 x14ac:dyDescent="0.25">
      <c r="A298" s="2" t="s">
        <v>118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 x14ac:dyDescent="0.25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 x14ac:dyDescent="0.25">
      <c r="A300" s="2" t="s">
        <v>119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 x14ac:dyDescent="0.25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 x14ac:dyDescent="0.25">
      <c r="A302" s="1" t="s">
        <v>126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 x14ac:dyDescent="0.25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 x14ac:dyDescent="0.25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 x14ac:dyDescent="0.25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 x14ac:dyDescent="0.25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 x14ac:dyDescent="0.25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 x14ac:dyDescent="0.25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 x14ac:dyDescent="0.25">
      <c r="A309" s="1" t="s">
        <v>120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 x14ac:dyDescent="0.25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 x14ac:dyDescent="0.25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127</v>
      </c>
      <c r="H311" s="1"/>
    </row>
    <row r="312" spans="1:8" x14ac:dyDescent="0.25">
      <c r="A312" s="1" t="s">
        <v>121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 x14ac:dyDescent="0.25">
      <c r="A313" s="1" t="s">
        <v>122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 x14ac:dyDescent="0.25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 x14ac:dyDescent="0.25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 x14ac:dyDescent="0.25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 x14ac:dyDescent="0.25">
      <c r="A317" s="1" t="s">
        <v>123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 x14ac:dyDescent="0.25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 x14ac:dyDescent="0.25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 x14ac:dyDescent="0.25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 x14ac:dyDescent="0.25">
      <c r="A321" s="1" t="s">
        <v>124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 x14ac:dyDescent="0.25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 x14ac:dyDescent="0.25">
      <c r="A323" s="1" t="s">
        <v>125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 x14ac:dyDescent="0.25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 x14ac:dyDescent="0.25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 x14ac:dyDescent="0.25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 x14ac:dyDescent="0.25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 x14ac:dyDescent="0.25">
      <c r="A328" s="2" t="s">
        <v>141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 x14ac:dyDescent="0.25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 x14ac:dyDescent="0.25">
      <c r="A330" s="14" t="s">
        <v>187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 x14ac:dyDescent="0.25">
      <c r="A331" s="1"/>
      <c r="B331" s="7"/>
      <c r="C331" s="10"/>
      <c r="D331" s="10"/>
      <c r="E331" s="10"/>
      <c r="F331" s="10"/>
      <c r="G331" s="7"/>
      <c r="H331" s="1"/>
    </row>
    <row r="332" spans="1:8" x14ac:dyDescent="0.25">
      <c r="A332" s="1" t="s">
        <v>36</v>
      </c>
      <c r="B332" s="7"/>
      <c r="C332" s="10"/>
      <c r="D332" s="10"/>
      <c r="E332" s="10"/>
      <c r="F332" s="10"/>
      <c r="G332" s="7"/>
      <c r="H332" s="2" t="s">
        <v>128</v>
      </c>
    </row>
    <row r="333" spans="1:8" x14ac:dyDescent="0.25">
      <c r="A333" s="1" t="s">
        <v>129</v>
      </c>
      <c r="B333" s="7"/>
      <c r="C333" s="10"/>
      <c r="D333" s="10"/>
      <c r="E333" s="10"/>
      <c r="F333" s="10"/>
      <c r="G333" s="7"/>
      <c r="H333" s="1"/>
    </row>
    <row r="334" spans="1:8" x14ac:dyDescent="0.25">
      <c r="A334" s="1" t="s">
        <v>130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 x14ac:dyDescent="0.25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 x14ac:dyDescent="0.25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 x14ac:dyDescent="0.25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 x14ac:dyDescent="0.25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 x14ac:dyDescent="0.25">
      <c r="A339" s="1" t="s">
        <v>131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 x14ac:dyDescent="0.25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 x14ac:dyDescent="0.25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140</v>
      </c>
      <c r="H341" s="1"/>
    </row>
    <row r="342" spans="1:8" x14ac:dyDescent="0.25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 x14ac:dyDescent="0.25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 x14ac:dyDescent="0.25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 x14ac:dyDescent="0.25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 x14ac:dyDescent="0.25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 x14ac:dyDescent="0.25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 x14ac:dyDescent="0.25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 x14ac:dyDescent="0.25">
      <c r="A349" s="2" t="s">
        <v>118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 x14ac:dyDescent="0.25">
      <c r="A350" s="2"/>
      <c r="B350" s="5"/>
      <c r="C350" s="5"/>
      <c r="D350" s="5"/>
      <c r="E350" s="5"/>
      <c r="F350" s="5"/>
      <c r="G350" s="7"/>
      <c r="H350" s="1"/>
    </row>
    <row r="351" spans="1:8" x14ac:dyDescent="0.25">
      <c r="A351" s="2" t="s">
        <v>136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 x14ac:dyDescent="0.25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 x14ac:dyDescent="0.25">
      <c r="A353" s="1" t="s">
        <v>133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 x14ac:dyDescent="0.25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 x14ac:dyDescent="0.25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 x14ac:dyDescent="0.25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 x14ac:dyDescent="0.25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 x14ac:dyDescent="0.25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 x14ac:dyDescent="0.25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 x14ac:dyDescent="0.25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 x14ac:dyDescent="0.25">
      <c r="A361" s="1" t="s">
        <v>132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 x14ac:dyDescent="0.25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 x14ac:dyDescent="0.25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 x14ac:dyDescent="0.25">
      <c r="A364" s="1" t="s">
        <v>134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 x14ac:dyDescent="0.25">
      <c r="A365" s="2" t="s">
        <v>135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 x14ac:dyDescent="0.25">
      <c r="A366" s="1" t="s">
        <v>137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 x14ac:dyDescent="0.25">
      <c r="A367" s="1" t="s">
        <v>137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 x14ac:dyDescent="0.25">
      <c r="A368" s="1" t="s">
        <v>132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 x14ac:dyDescent="0.25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 x14ac:dyDescent="0.25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 x14ac:dyDescent="0.25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 x14ac:dyDescent="0.25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 x14ac:dyDescent="0.25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 x14ac:dyDescent="0.25">
      <c r="A374" s="1" t="s">
        <v>138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 x14ac:dyDescent="0.25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 x14ac:dyDescent="0.25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 x14ac:dyDescent="0.25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 x14ac:dyDescent="0.25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 x14ac:dyDescent="0.25">
      <c r="A379" s="14" t="s">
        <v>139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 x14ac:dyDescent="0.25">
      <c r="A380" s="1"/>
      <c r="B380" s="7"/>
      <c r="C380" s="10"/>
      <c r="D380" s="10"/>
      <c r="E380" s="10"/>
      <c r="F380" s="10"/>
      <c r="G380" s="7"/>
      <c r="H380" s="1"/>
    </row>
    <row r="381" spans="1:8" x14ac:dyDescent="0.25">
      <c r="A381" s="1"/>
      <c r="B381" s="7"/>
      <c r="C381" s="10"/>
      <c r="D381" s="10"/>
      <c r="E381" s="10"/>
      <c r="F381" s="10"/>
      <c r="G381" s="5" t="s">
        <v>142</v>
      </c>
      <c r="H381" s="1"/>
    </row>
    <row r="382" spans="1:8" x14ac:dyDescent="0.25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 x14ac:dyDescent="0.25">
      <c r="A383" s="1" t="s">
        <v>143</v>
      </c>
      <c r="B383" s="7"/>
      <c r="C383" s="10"/>
      <c r="D383" s="10"/>
      <c r="E383" s="10"/>
      <c r="F383" s="10"/>
      <c r="G383" s="7"/>
      <c r="H383" s="1"/>
    </row>
    <row r="384" spans="1:8" x14ac:dyDescent="0.25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 x14ac:dyDescent="0.25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 x14ac:dyDescent="0.25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 x14ac:dyDescent="0.25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 x14ac:dyDescent="0.25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 x14ac:dyDescent="0.25">
      <c r="A389" s="1" t="s">
        <v>144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 x14ac:dyDescent="0.25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 x14ac:dyDescent="0.25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 x14ac:dyDescent="0.25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 x14ac:dyDescent="0.25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 x14ac:dyDescent="0.25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 x14ac:dyDescent="0.25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 x14ac:dyDescent="0.25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 x14ac:dyDescent="0.25">
      <c r="A397" s="2" t="s">
        <v>118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 x14ac:dyDescent="0.25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 x14ac:dyDescent="0.25">
      <c r="A399" s="2" t="s">
        <v>145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 x14ac:dyDescent="0.25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 x14ac:dyDescent="0.25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 x14ac:dyDescent="0.25">
      <c r="A402" s="1" t="s">
        <v>146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 x14ac:dyDescent="0.25">
      <c r="A403" s="1" t="s">
        <v>147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 x14ac:dyDescent="0.25">
      <c r="A404" s="1" t="s">
        <v>148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 x14ac:dyDescent="0.25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 x14ac:dyDescent="0.25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 x14ac:dyDescent="0.25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 x14ac:dyDescent="0.25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 x14ac:dyDescent="0.25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 x14ac:dyDescent="0.25">
      <c r="A410" s="1" t="s">
        <v>149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 x14ac:dyDescent="0.25">
      <c r="A411" s="1" t="s">
        <v>147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 x14ac:dyDescent="0.25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 x14ac:dyDescent="0.25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 x14ac:dyDescent="0.25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 x14ac:dyDescent="0.25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 x14ac:dyDescent="0.25">
      <c r="A416" s="1" t="s">
        <v>123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 x14ac:dyDescent="0.25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 x14ac:dyDescent="0.25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 x14ac:dyDescent="0.25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155</v>
      </c>
      <c r="H419" s="1"/>
    </row>
    <row r="420" spans="1:8" x14ac:dyDescent="0.25">
      <c r="A420" s="1" t="s">
        <v>150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 x14ac:dyDescent="0.25">
      <c r="A421" s="1" t="s">
        <v>151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 x14ac:dyDescent="0.25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 x14ac:dyDescent="0.25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 x14ac:dyDescent="0.25">
      <c r="A424" s="1" t="s">
        <v>125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 x14ac:dyDescent="0.25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 x14ac:dyDescent="0.25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 x14ac:dyDescent="0.25">
      <c r="A427" s="1" t="s">
        <v>153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 x14ac:dyDescent="0.25">
      <c r="A428" s="1" t="s">
        <v>152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 x14ac:dyDescent="0.25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 x14ac:dyDescent="0.25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 x14ac:dyDescent="0.25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 x14ac:dyDescent="0.25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 x14ac:dyDescent="0.25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 x14ac:dyDescent="0.25">
      <c r="A434" s="14" t="s">
        <v>154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 x14ac:dyDescent="0.25">
      <c r="A435" s="1"/>
      <c r="B435" s="7"/>
      <c r="C435" s="10"/>
      <c r="D435" s="10"/>
      <c r="E435" s="7"/>
      <c r="F435" s="10"/>
      <c r="G435" s="5"/>
      <c r="H435" s="1"/>
    </row>
    <row r="436" spans="1:8" x14ac:dyDescent="0.25">
      <c r="A436" s="1"/>
      <c r="B436" s="7"/>
      <c r="C436" s="10"/>
      <c r="D436" s="10"/>
      <c r="E436" s="7"/>
      <c r="F436" s="10"/>
      <c r="G436" s="5"/>
      <c r="H436" s="2" t="s">
        <v>156</v>
      </c>
    </row>
    <row r="437" spans="1:8" x14ac:dyDescent="0.25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 x14ac:dyDescent="0.25">
      <c r="A438" s="1" t="s">
        <v>157</v>
      </c>
      <c r="B438" s="7"/>
      <c r="C438" s="10"/>
      <c r="D438" s="10"/>
      <c r="E438" s="7"/>
      <c r="F438" s="10"/>
      <c r="G438" s="7"/>
      <c r="H438" s="1"/>
    </row>
    <row r="439" spans="1:8" x14ac:dyDescent="0.25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 x14ac:dyDescent="0.25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 x14ac:dyDescent="0.25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 x14ac:dyDescent="0.25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 x14ac:dyDescent="0.25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 x14ac:dyDescent="0.25">
      <c r="A444" s="1" t="s">
        <v>158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 x14ac:dyDescent="0.25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 x14ac:dyDescent="0.25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 x14ac:dyDescent="0.25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 x14ac:dyDescent="0.25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 x14ac:dyDescent="0.25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 x14ac:dyDescent="0.25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 x14ac:dyDescent="0.25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 x14ac:dyDescent="0.25">
      <c r="A452" s="2" t="s">
        <v>118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 x14ac:dyDescent="0.25">
      <c r="A453" s="2"/>
      <c r="B453" s="5"/>
      <c r="C453" s="5"/>
      <c r="D453" s="5"/>
      <c r="E453" s="5"/>
      <c r="F453" s="5"/>
      <c r="G453" s="7"/>
      <c r="H453" s="1"/>
    </row>
    <row r="454" spans="1:8" x14ac:dyDescent="0.25">
      <c r="A454" s="1" t="s">
        <v>159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 x14ac:dyDescent="0.25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 x14ac:dyDescent="0.25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 x14ac:dyDescent="0.25">
      <c r="A457" s="1" t="s">
        <v>160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 x14ac:dyDescent="0.25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 x14ac:dyDescent="0.25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 x14ac:dyDescent="0.25">
      <c r="A460" s="1" t="s">
        <v>161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 x14ac:dyDescent="0.25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 x14ac:dyDescent="0.25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 x14ac:dyDescent="0.25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 x14ac:dyDescent="0.25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 x14ac:dyDescent="0.25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 x14ac:dyDescent="0.25">
      <c r="A466" s="1" t="s">
        <v>162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 x14ac:dyDescent="0.25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 x14ac:dyDescent="0.25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 x14ac:dyDescent="0.25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 x14ac:dyDescent="0.25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 x14ac:dyDescent="0.25">
      <c r="A471" s="1" t="s">
        <v>123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 x14ac:dyDescent="0.25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 x14ac:dyDescent="0.25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165</v>
      </c>
      <c r="H473" s="1"/>
    </row>
    <row r="474" spans="1:8" x14ac:dyDescent="0.25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 x14ac:dyDescent="0.25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 x14ac:dyDescent="0.25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 x14ac:dyDescent="0.25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 x14ac:dyDescent="0.25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 x14ac:dyDescent="0.25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 x14ac:dyDescent="0.25">
      <c r="A480" s="1" t="s">
        <v>110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 x14ac:dyDescent="0.25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 x14ac:dyDescent="0.25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 x14ac:dyDescent="0.25">
      <c r="A483" s="2" t="s">
        <v>163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 x14ac:dyDescent="0.25">
      <c r="A484" s="1" t="s">
        <v>111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 x14ac:dyDescent="0.25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 x14ac:dyDescent="0.25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 x14ac:dyDescent="0.25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 x14ac:dyDescent="0.25">
      <c r="A488" s="14" t="s">
        <v>164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 x14ac:dyDescent="0.25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 x14ac:dyDescent="0.25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166</v>
      </c>
    </row>
    <row r="491" spans="1:8" x14ac:dyDescent="0.25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 x14ac:dyDescent="0.25">
      <c r="A492" s="1" t="s">
        <v>167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 x14ac:dyDescent="0.25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 x14ac:dyDescent="0.25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 x14ac:dyDescent="0.25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 x14ac:dyDescent="0.25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 x14ac:dyDescent="0.25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 x14ac:dyDescent="0.25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 x14ac:dyDescent="0.25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 x14ac:dyDescent="0.25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169</v>
      </c>
      <c r="H500" s="1"/>
    </row>
    <row r="501" spans="1:8" x14ac:dyDescent="0.25">
      <c r="A501" s="1" t="s">
        <v>168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 x14ac:dyDescent="0.25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 x14ac:dyDescent="0.25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 x14ac:dyDescent="0.25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 x14ac:dyDescent="0.25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 x14ac:dyDescent="0.25">
      <c r="A506" s="1" t="s">
        <v>111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 x14ac:dyDescent="0.25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 x14ac:dyDescent="0.25">
      <c r="A508" s="2" t="s">
        <v>118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 x14ac:dyDescent="0.25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 x14ac:dyDescent="0.25">
      <c r="A510" s="2" t="s">
        <v>191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 x14ac:dyDescent="0.25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 x14ac:dyDescent="0.25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 x14ac:dyDescent="0.25">
      <c r="A513" s="1" t="s">
        <v>170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 x14ac:dyDescent="0.25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 x14ac:dyDescent="0.25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 x14ac:dyDescent="0.25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 x14ac:dyDescent="0.25">
      <c r="A517" s="1" t="s">
        <v>171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 x14ac:dyDescent="0.25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 x14ac:dyDescent="0.25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 x14ac:dyDescent="0.25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 x14ac:dyDescent="0.25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180</v>
      </c>
      <c r="H521" s="1"/>
    </row>
    <row r="522" spans="1:8" x14ac:dyDescent="0.25">
      <c r="A522" s="1" t="s">
        <v>172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 x14ac:dyDescent="0.25">
      <c r="A523" s="1" t="s">
        <v>173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 x14ac:dyDescent="0.25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 x14ac:dyDescent="0.25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 x14ac:dyDescent="0.25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 x14ac:dyDescent="0.25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 x14ac:dyDescent="0.25">
      <c r="A528" s="1" t="s">
        <v>123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 x14ac:dyDescent="0.25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 x14ac:dyDescent="0.25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 x14ac:dyDescent="0.25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 x14ac:dyDescent="0.25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181</v>
      </c>
      <c r="H532" s="1"/>
    </row>
    <row r="533" spans="1:11" x14ac:dyDescent="0.25">
      <c r="A533" s="1" t="s">
        <v>174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 x14ac:dyDescent="0.25">
      <c r="A534" s="1" t="s">
        <v>175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 x14ac:dyDescent="0.25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 x14ac:dyDescent="0.25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 x14ac:dyDescent="0.25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 x14ac:dyDescent="0.25">
      <c r="A538" s="1" t="s">
        <v>176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 x14ac:dyDescent="0.25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 x14ac:dyDescent="0.25">
      <c r="A540" s="1" t="s">
        <v>177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 x14ac:dyDescent="0.25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 x14ac:dyDescent="0.25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 x14ac:dyDescent="0.25">
      <c r="A543" s="1" t="s">
        <v>111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 x14ac:dyDescent="0.25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 x14ac:dyDescent="0.25">
      <c r="A545" s="2" t="s">
        <v>178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 x14ac:dyDescent="0.25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 x14ac:dyDescent="0.25">
      <c r="A547" s="14" t="s">
        <v>179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 x14ac:dyDescent="0.25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0" workbookViewId="0">
      <selection activeCell="G53" sqref="G53"/>
    </sheetView>
  </sheetViews>
  <sheetFormatPr defaultRowHeight="15" x14ac:dyDescent="0.25"/>
  <cols>
    <col min="1" max="1" width="29.28515625" customWidth="1"/>
    <col min="7" max="8" width="7.7109375" customWidth="1"/>
    <col min="9" max="9" width="16.7109375" customWidth="1"/>
  </cols>
  <sheetData>
    <row r="1" spans="1:9" x14ac:dyDescent="0.25">
      <c r="A1" s="1"/>
      <c r="B1" s="7"/>
      <c r="C1" s="10"/>
      <c r="D1" s="10"/>
      <c r="E1" s="7"/>
      <c r="F1" s="10"/>
      <c r="G1" s="5"/>
      <c r="H1" s="5" t="s">
        <v>156</v>
      </c>
      <c r="I1" s="2" t="s">
        <v>197</v>
      </c>
    </row>
    <row r="2" spans="1:9" x14ac:dyDescent="0.25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 x14ac:dyDescent="0.25">
      <c r="A3" s="2" t="s">
        <v>276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17</v>
      </c>
      <c r="B4" s="8">
        <v>30</v>
      </c>
      <c r="C4" s="10">
        <f>B4*10.7/100</f>
        <v>3.21</v>
      </c>
      <c r="D4" s="10">
        <f>B4*1.3/100</f>
        <v>0.39</v>
      </c>
      <c r="E4" s="7">
        <f>B4*68.4/100</f>
        <v>20.52</v>
      </c>
      <c r="F4" s="10">
        <f>B4*335/100</f>
        <v>100.5</v>
      </c>
      <c r="G4" s="7"/>
      <c r="H4" s="7"/>
      <c r="I4" s="1"/>
    </row>
    <row r="5" spans="1:9" x14ac:dyDescent="0.25">
      <c r="A5" s="1" t="s">
        <v>7</v>
      </c>
      <c r="B5" s="8">
        <v>120</v>
      </c>
      <c r="C5" s="10">
        <f>B5*2.8/100</f>
        <v>3.36</v>
      </c>
      <c r="D5" s="10">
        <f>B5*3.5/100</f>
        <v>4.2</v>
      </c>
      <c r="E5" s="7">
        <f>B5*4.7/100</f>
        <v>5.64</v>
      </c>
      <c r="F5" s="10">
        <f t="shared" ref="F5" si="0">B5*89/100</f>
        <v>106.8</v>
      </c>
      <c r="G5" s="5"/>
      <c r="H5" s="5"/>
      <c r="I5" s="1"/>
    </row>
    <row r="6" spans="1:9" x14ac:dyDescent="0.25">
      <c r="A6" s="1" t="s">
        <v>8</v>
      </c>
      <c r="B6" s="8">
        <v>3</v>
      </c>
      <c r="C6" s="10">
        <f>B6*0.7/100</f>
        <v>2.0999999999999998E-2</v>
      </c>
      <c r="D6" s="10">
        <f t="shared" ref="D6:D16" si="1">B6*72.5/100</f>
        <v>2.1749999999999998</v>
      </c>
      <c r="E6" s="7">
        <f>B6*1/100</f>
        <v>0.03</v>
      </c>
      <c r="F6" s="10">
        <f>B6*709/100</f>
        <v>21.27</v>
      </c>
      <c r="G6" s="5"/>
      <c r="H6" s="5"/>
      <c r="I6" s="1"/>
    </row>
    <row r="7" spans="1:9" x14ac:dyDescent="0.25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7">
        <f>B7*99.8/100</f>
        <v>2.9939999999999998</v>
      </c>
      <c r="F7" s="10">
        <f>B7*379/10</f>
        <v>113.7</v>
      </c>
      <c r="G7" s="5"/>
      <c r="H7" s="5"/>
      <c r="I7" s="1"/>
    </row>
    <row r="8" spans="1:9" x14ac:dyDescent="0.25">
      <c r="A8" s="2" t="s">
        <v>74</v>
      </c>
      <c r="B8" s="5"/>
      <c r="C8" s="5">
        <f>C4+C5+C6</f>
        <v>6.5910000000000002</v>
      </c>
      <c r="D8" s="5">
        <f>D4+D5+D6</f>
        <v>6.7649999999999997</v>
      </c>
      <c r="E8" s="5">
        <f>E4+E5+E6+E7</f>
        <v>29.184000000000001</v>
      </c>
      <c r="F8" s="5">
        <f>F4+F5+F6+F7</f>
        <v>342.27000000000004</v>
      </c>
      <c r="G8" s="5">
        <v>250</v>
      </c>
      <c r="H8" s="5"/>
      <c r="I8" s="1" t="s">
        <v>260</v>
      </c>
    </row>
    <row r="9" spans="1:9" x14ac:dyDescent="0.25">
      <c r="A9" s="2" t="s">
        <v>158</v>
      </c>
      <c r="B9" s="7"/>
      <c r="C9" s="10"/>
      <c r="D9" s="10"/>
      <c r="E9" s="7"/>
      <c r="F9" s="10"/>
      <c r="G9" s="5"/>
      <c r="H9" s="5"/>
      <c r="I9" s="1"/>
    </row>
    <row r="10" spans="1:9" x14ac:dyDescent="0.25">
      <c r="A10" s="1" t="s">
        <v>11</v>
      </c>
      <c r="B10" s="7">
        <v>1.2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 x14ac:dyDescent="0.25">
      <c r="A11" s="1" t="s">
        <v>7</v>
      </c>
      <c r="B11" s="8">
        <v>120</v>
      </c>
      <c r="C11" s="10">
        <f>B11*2.8/100</f>
        <v>3.36</v>
      </c>
      <c r="D11" s="10">
        <f>B11*3.5/100</f>
        <v>4.2</v>
      </c>
      <c r="E11" s="7">
        <f>B11*4.7/100</f>
        <v>5.64</v>
      </c>
      <c r="F11" s="10">
        <f>B11*61/100</f>
        <v>73.2</v>
      </c>
      <c r="G11" s="5"/>
      <c r="H11" s="5"/>
      <c r="I11" s="1"/>
    </row>
    <row r="12" spans="1:9" x14ac:dyDescent="0.25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7">
        <f>B12*99.8/100</f>
        <v>6.9860000000000007</v>
      </c>
      <c r="F12" s="10">
        <f>B12*379/100</f>
        <v>26.53</v>
      </c>
      <c r="G12" s="5"/>
      <c r="H12" s="5"/>
      <c r="I12" s="1"/>
    </row>
    <row r="13" spans="1:9" x14ac:dyDescent="0.25">
      <c r="A13" s="2" t="s">
        <v>14</v>
      </c>
      <c r="B13" s="5"/>
      <c r="C13" s="5">
        <f>C11+C12</f>
        <v>3.36</v>
      </c>
      <c r="D13" s="5">
        <f>D11+D12</f>
        <v>4.2</v>
      </c>
      <c r="E13" s="5">
        <f>E11+E12</f>
        <v>12.626000000000001</v>
      </c>
      <c r="F13" s="5">
        <f>F11+F12</f>
        <v>99.73</v>
      </c>
      <c r="G13" s="5">
        <v>200</v>
      </c>
      <c r="H13" s="5"/>
      <c r="I13" s="1" t="s">
        <v>261</v>
      </c>
    </row>
    <row r="14" spans="1:9" x14ac:dyDescent="0.25">
      <c r="A14" s="2" t="s">
        <v>13</v>
      </c>
      <c r="B14" s="7">
        <v>20</v>
      </c>
      <c r="C14" s="10">
        <f>B14*23/100</f>
        <v>4.5999999999999996</v>
      </c>
      <c r="D14" s="10">
        <f>B14*29/100</f>
        <v>5.8</v>
      </c>
      <c r="E14" s="7">
        <f>B14*0/100</f>
        <v>0</v>
      </c>
      <c r="F14" s="10">
        <f>B14*360/100</f>
        <v>72</v>
      </c>
      <c r="G14" s="5">
        <v>20</v>
      </c>
      <c r="H14" s="5"/>
      <c r="I14" s="1" t="s">
        <v>200</v>
      </c>
    </row>
    <row r="15" spans="1:9" x14ac:dyDescent="0.25">
      <c r="A15" s="1" t="s">
        <v>12</v>
      </c>
      <c r="B15" s="8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 x14ac:dyDescent="0.25">
      <c r="A16" s="1" t="s">
        <v>8</v>
      </c>
      <c r="B16" s="8">
        <v>10</v>
      </c>
      <c r="C16" s="10">
        <f>B16*0.7/100</f>
        <v>7.0000000000000007E-2</v>
      </c>
      <c r="D16" s="10">
        <f t="shared" si="1"/>
        <v>7.25</v>
      </c>
      <c r="E16" s="7">
        <f>B16*1/100</f>
        <v>0.1</v>
      </c>
      <c r="F16" s="10">
        <f>B16*709/100</f>
        <v>70.900000000000006</v>
      </c>
      <c r="G16" s="5">
        <v>10</v>
      </c>
      <c r="H16" s="5"/>
      <c r="I16" s="1"/>
    </row>
    <row r="17" spans="1:9" x14ac:dyDescent="0.25">
      <c r="A17" s="2" t="s">
        <v>118</v>
      </c>
      <c r="B17" s="5"/>
      <c r="C17" s="5">
        <f>C8+C13+C14+C15+C16</f>
        <v>19.241</v>
      </c>
      <c r="D17" s="5">
        <f>D8+D13+D14+D15+D16</f>
        <v>25.815000000000001</v>
      </c>
      <c r="E17" s="5">
        <f>E8+E13+E15+E16</f>
        <v>71.789999999999992</v>
      </c>
      <c r="F17" s="5">
        <f>F8+F13+F14+F15+F16</f>
        <v>742.1</v>
      </c>
      <c r="G17" s="5">
        <v>540</v>
      </c>
      <c r="H17" s="5"/>
      <c r="I17" s="1"/>
    </row>
    <row r="18" spans="1:9" x14ac:dyDescent="0.25">
      <c r="A18" s="2"/>
      <c r="B18" s="5"/>
      <c r="C18" s="5"/>
      <c r="D18" s="5"/>
      <c r="E18" s="5"/>
      <c r="F18" s="5"/>
      <c r="G18" s="7"/>
      <c r="H18" s="7"/>
      <c r="I18" s="1"/>
    </row>
    <row r="19" spans="1:9" x14ac:dyDescent="0.25">
      <c r="A19" s="2" t="s">
        <v>159</v>
      </c>
      <c r="B19" s="5">
        <v>140</v>
      </c>
      <c r="C19" s="5">
        <f>B19*0.8/100</f>
        <v>1.1200000000000001</v>
      </c>
      <c r="D19" s="5">
        <f>B19*0.3/100</f>
        <v>0.42</v>
      </c>
      <c r="E19" s="5">
        <f>B19*8.1/100</f>
        <v>11.34</v>
      </c>
      <c r="F19" s="5">
        <f>B19*40/100</f>
        <v>56</v>
      </c>
      <c r="G19" s="5">
        <v>140</v>
      </c>
      <c r="H19" s="5"/>
      <c r="I19" s="1" t="s">
        <v>262</v>
      </c>
    </row>
    <row r="20" spans="1:9" x14ac:dyDescent="0.25">
      <c r="A20" s="1"/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2" t="s">
        <v>160</v>
      </c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50</v>
      </c>
      <c r="C24" s="10">
        <f>B24*2/100</f>
        <v>1</v>
      </c>
      <c r="D24" s="10">
        <f>B24*0.4/100</f>
        <v>0.2</v>
      </c>
      <c r="E24" s="7">
        <f>B24*17.3/100</f>
        <v>8.65</v>
      </c>
      <c r="F24" s="10">
        <f>B24*80/100</f>
        <v>40</v>
      </c>
      <c r="G24" s="7"/>
      <c r="H24" s="7"/>
      <c r="I24" s="1"/>
    </row>
    <row r="25" spans="1:9" x14ac:dyDescent="0.25">
      <c r="A25" s="1" t="s">
        <v>161</v>
      </c>
      <c r="B25" s="8">
        <v>20</v>
      </c>
      <c r="C25" s="10">
        <f>B25*5/100</f>
        <v>1</v>
      </c>
      <c r="D25" s="10">
        <f>B25*0.2/100</f>
        <v>0.04</v>
      </c>
      <c r="E25" s="7">
        <f>B25*12.8/100</f>
        <v>2.56</v>
      </c>
      <c r="F25" s="10">
        <f>B25*73/100</f>
        <v>14.6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7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7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7">
        <f>B28*19/100</f>
        <v>0.76</v>
      </c>
      <c r="F28" s="10">
        <f>B28*99/100</f>
        <v>3.96</v>
      </c>
      <c r="G28" s="7"/>
      <c r="H28" s="7"/>
      <c r="I28" s="1"/>
    </row>
    <row r="29" spans="1:9" x14ac:dyDescent="0.25">
      <c r="A29" s="1" t="s">
        <v>8</v>
      </c>
      <c r="B29" s="7">
        <v>2</v>
      </c>
      <c r="C29" s="10">
        <f>B29*0.7/100</f>
        <v>1.3999999999999999E-2</v>
      </c>
      <c r="D29" s="10">
        <f t="shared" ref="D29:D47" si="2">B29*72.5/100</f>
        <v>1.45</v>
      </c>
      <c r="E29" s="7">
        <f>B29*1/100</f>
        <v>0.02</v>
      </c>
      <c r="F29" s="10">
        <f>B29*709/100</f>
        <v>14.18</v>
      </c>
      <c r="G29" s="7"/>
      <c r="H29" s="7"/>
      <c r="I29" s="1"/>
    </row>
    <row r="30" spans="1:9" x14ac:dyDescent="0.25">
      <c r="A30" s="2" t="s">
        <v>14</v>
      </c>
      <c r="B30" s="5"/>
      <c r="C30" s="5">
        <f>C23+C24+C25+C26+C27+C28+C29</f>
        <v>8.1369999999999987</v>
      </c>
      <c r="D30" s="5">
        <f>D23+D24+D25+D26+D27+D28+D29</f>
        <v>6.5030000000000001</v>
      </c>
      <c r="E30" s="5">
        <f>E23+E24+E25+E26+E27+E28+E29</f>
        <v>14.356</v>
      </c>
      <c r="F30" s="5">
        <f>F23+F24+F25+F26+F27+F28+F29</f>
        <v>148.80000000000001</v>
      </c>
      <c r="G30" s="5">
        <v>200</v>
      </c>
      <c r="H30" s="5"/>
      <c r="I30" s="1" t="s">
        <v>263</v>
      </c>
    </row>
    <row r="31" spans="1:9" x14ac:dyDescent="0.25">
      <c r="A31" s="2" t="s">
        <v>162</v>
      </c>
      <c r="B31" s="7"/>
      <c r="C31" s="10"/>
      <c r="D31" s="10"/>
      <c r="E31" s="7"/>
      <c r="F31" s="10"/>
      <c r="G31" s="7"/>
      <c r="H31" s="7"/>
      <c r="I31" s="1"/>
    </row>
    <row r="32" spans="1:9" x14ac:dyDescent="0.25">
      <c r="A32" s="1" t="s">
        <v>41</v>
      </c>
      <c r="B32" s="8">
        <v>60</v>
      </c>
      <c r="C32" s="10">
        <f>B32*18.6/100</f>
        <v>11.16</v>
      </c>
      <c r="D32" s="10">
        <f>B32*16/100</f>
        <v>9.6</v>
      </c>
      <c r="E32" s="7">
        <f>B32*0/100</f>
        <v>0</v>
      </c>
      <c r="F32" s="10">
        <f>B33*41/100</f>
        <v>5.33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10">
        <f>B33*1.4/100</f>
        <v>0.182</v>
      </c>
      <c r="D33" s="10">
        <f>B33*0/100</f>
        <v>0</v>
      </c>
      <c r="E33" s="7">
        <f>B33*9.1/100</f>
        <v>1.1830000000000001</v>
      </c>
      <c r="F33" s="12">
        <f>B33/41</f>
        <v>0.31707317073170732</v>
      </c>
      <c r="G33" s="7"/>
      <c r="H33" s="7"/>
      <c r="I33" s="1"/>
    </row>
    <row r="34" spans="1:9" x14ac:dyDescent="0.25">
      <c r="A34" s="1" t="s">
        <v>16</v>
      </c>
      <c r="B34" s="11">
        <v>13</v>
      </c>
      <c r="C34" s="10">
        <f>B34*1.3/100</f>
        <v>0.16900000000000001</v>
      </c>
      <c r="D34" s="10">
        <f>B34*0.1/100</f>
        <v>1.3000000000000001E-2</v>
      </c>
      <c r="E34" s="7">
        <f>B34*8.4/100</f>
        <v>1.0920000000000001</v>
      </c>
      <c r="F34" s="10">
        <f>B34*34/100</f>
        <v>4.42</v>
      </c>
      <c r="G34" s="7"/>
      <c r="H34" s="7"/>
      <c r="I34" s="1"/>
    </row>
    <row r="35" spans="1:9" x14ac:dyDescent="0.25">
      <c r="A35" s="1" t="s">
        <v>28</v>
      </c>
      <c r="B35" s="8">
        <v>5</v>
      </c>
      <c r="C35" s="10">
        <f>B35*4.8/100</f>
        <v>0.24</v>
      </c>
      <c r="D35" s="10">
        <f>B35*0/100</f>
        <v>0</v>
      </c>
      <c r="E35" s="7">
        <f>B35*19/100</f>
        <v>0.95</v>
      </c>
      <c r="F35" s="10">
        <f>B35*99/100</f>
        <v>4.95</v>
      </c>
      <c r="G35" s="7"/>
      <c r="H35" s="7"/>
      <c r="I35" s="1"/>
    </row>
    <row r="36" spans="1:9" x14ac:dyDescent="0.25">
      <c r="A36" s="1" t="s">
        <v>123</v>
      </c>
      <c r="B36" s="8">
        <v>3</v>
      </c>
      <c r="C36" s="10">
        <f>B36*10.3/100</f>
        <v>0.309</v>
      </c>
      <c r="D36" s="10">
        <f>B36*1.3/100</f>
        <v>3.9000000000000007E-2</v>
      </c>
      <c r="E36" s="7">
        <f>B36*67.7/100</f>
        <v>2.0310000000000001</v>
      </c>
      <c r="F36" s="10">
        <f>B36*331/100</f>
        <v>9.93</v>
      </c>
      <c r="G36" s="7"/>
      <c r="H36" s="7"/>
      <c r="I36" s="1"/>
    </row>
    <row r="37" spans="1:9" x14ac:dyDescent="0.25">
      <c r="A37" s="1" t="s">
        <v>8</v>
      </c>
      <c r="B37" s="8">
        <v>2</v>
      </c>
      <c r="C37" s="10">
        <f>B37*0.7/100</f>
        <v>1.3999999999999999E-2</v>
      </c>
      <c r="D37" s="10">
        <f t="shared" si="2"/>
        <v>1.45</v>
      </c>
      <c r="E37" s="7">
        <f>B37*1/100</f>
        <v>0.02</v>
      </c>
      <c r="F37" s="10">
        <f>B37*709/100</f>
        <v>14.18</v>
      </c>
      <c r="G37" s="7"/>
      <c r="H37" s="7"/>
      <c r="I37" s="1"/>
    </row>
    <row r="38" spans="1:9" x14ac:dyDescent="0.25">
      <c r="A38" s="2" t="s">
        <v>14</v>
      </c>
      <c r="B38" s="5"/>
      <c r="C38" s="5">
        <f>C32+C33+C34+C35+C36+C37</f>
        <v>12.074</v>
      </c>
      <c r="D38" s="5">
        <f>D32+D33+D34+D35+D36+D37</f>
        <v>11.101999999999999</v>
      </c>
      <c r="E38" s="5">
        <f>E32+E33+E34+E35+E36+E37</f>
        <v>5.2759999999999998</v>
      </c>
      <c r="F38" s="13">
        <f>F32+F33+F34+F35+F36+F37</f>
        <v>39.127073170731705</v>
      </c>
      <c r="G38" s="5" t="s">
        <v>294</v>
      </c>
      <c r="H38" s="5"/>
      <c r="I38" s="1" t="s">
        <v>264</v>
      </c>
    </row>
    <row r="39" spans="1:9" x14ac:dyDescent="0.25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 x14ac:dyDescent="0.25">
      <c r="A40" s="1" t="s">
        <v>15</v>
      </c>
      <c r="B40" s="7">
        <v>150</v>
      </c>
      <c r="C40" s="10">
        <f>B40*2/100</f>
        <v>3</v>
      </c>
      <c r="D40" s="10">
        <f>B40*0.4/100</f>
        <v>0.6</v>
      </c>
      <c r="E40" s="7">
        <f>B40*17.3/100</f>
        <v>25.95</v>
      </c>
      <c r="F40" s="10">
        <f>B40*80/100</f>
        <v>120</v>
      </c>
      <c r="G40" s="5"/>
      <c r="H40" s="5"/>
      <c r="I40" s="1"/>
    </row>
    <row r="41" spans="1:9" x14ac:dyDescent="0.25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7">
        <f>B41*4.7/100</f>
        <v>1.88</v>
      </c>
      <c r="F41" s="10">
        <f>B41*61/100</f>
        <v>24.4</v>
      </c>
      <c r="G41" s="5"/>
      <c r="H41" s="5"/>
      <c r="I41" s="1"/>
    </row>
    <row r="42" spans="1:9" x14ac:dyDescent="0.25">
      <c r="A42" s="1" t="s">
        <v>8</v>
      </c>
      <c r="B42" s="8">
        <v>3</v>
      </c>
      <c r="C42" s="10">
        <f>B42*0.7/100</f>
        <v>2.0999999999999998E-2</v>
      </c>
      <c r="D42" s="10">
        <f t="shared" si="2"/>
        <v>2.1749999999999998</v>
      </c>
      <c r="E42" s="7">
        <f>B42*1/100</f>
        <v>0.03</v>
      </c>
      <c r="F42" s="10">
        <f>B42*709/100</f>
        <v>21.27</v>
      </c>
      <c r="G42" s="5"/>
      <c r="H42" s="5"/>
      <c r="I42" s="1"/>
    </row>
    <row r="43" spans="1:9" x14ac:dyDescent="0.25">
      <c r="A43" s="2" t="s">
        <v>74</v>
      </c>
      <c r="B43" s="5"/>
      <c r="C43" s="5">
        <f>C40+C41+C42</f>
        <v>4.141</v>
      </c>
      <c r="D43" s="5">
        <f>D40+D41+D42</f>
        <v>4.1749999999999998</v>
      </c>
      <c r="E43" s="5">
        <f>E40+E41+E42</f>
        <v>27.86</v>
      </c>
      <c r="F43" s="5">
        <f>F40+F41+F42</f>
        <v>165.67000000000002</v>
      </c>
      <c r="G43" s="5">
        <v>180</v>
      </c>
      <c r="H43" s="5"/>
      <c r="I43" s="1" t="s">
        <v>220</v>
      </c>
    </row>
    <row r="44" spans="1:9" x14ac:dyDescent="0.25">
      <c r="A44" s="2" t="s">
        <v>72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110</v>
      </c>
      <c r="B45" s="7">
        <v>12</v>
      </c>
      <c r="C45" s="10">
        <f>B45*3.4/100</f>
        <v>0.40799999999999997</v>
      </c>
      <c r="D45" s="10">
        <f>B45*0/100</f>
        <v>0</v>
      </c>
      <c r="E45" s="7">
        <f>B45*21.5/100</f>
        <v>2.58</v>
      </c>
      <c r="F45" s="10">
        <f>B45*110/100</f>
        <v>13.2</v>
      </c>
      <c r="G45" s="5"/>
      <c r="H45" s="5"/>
      <c r="I45" s="1"/>
    </row>
    <row r="46" spans="1:9" x14ac:dyDescent="0.25">
      <c r="A46" s="1" t="s">
        <v>9</v>
      </c>
      <c r="B46" s="7">
        <v>8</v>
      </c>
      <c r="C46" s="10">
        <f>B46*0/100</f>
        <v>0</v>
      </c>
      <c r="D46" s="10">
        <f>B46*0/100</f>
        <v>0</v>
      </c>
      <c r="E46" s="7">
        <f>B46*99.8/100</f>
        <v>7.984</v>
      </c>
      <c r="F46" s="10">
        <f>B46*379/100</f>
        <v>30.32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0.40799999999999997</v>
      </c>
      <c r="D47" s="5">
        <f t="shared" si="2"/>
        <v>0</v>
      </c>
      <c r="E47" s="5">
        <f>E45+E46</f>
        <v>10.564</v>
      </c>
      <c r="F47" s="5">
        <f>F45+F46</f>
        <v>43.519999999999996</v>
      </c>
      <c r="G47" s="5">
        <v>200</v>
      </c>
      <c r="H47" s="5"/>
      <c r="I47" s="1" t="s">
        <v>205</v>
      </c>
    </row>
    <row r="48" spans="1:9" x14ac:dyDescent="0.25">
      <c r="A48" s="2" t="s">
        <v>163</v>
      </c>
      <c r="B48" s="5">
        <v>50</v>
      </c>
      <c r="C48" s="5">
        <f>B48*0.8/100</f>
        <v>0.4</v>
      </c>
      <c r="D48" s="5">
        <f>B48*0.1/100</f>
        <v>0.05</v>
      </c>
      <c r="E48" s="5">
        <f>B48*3.4/100</f>
        <v>1.7</v>
      </c>
      <c r="F48" s="5">
        <f>B48*14/100</f>
        <v>7</v>
      </c>
      <c r="G48" s="5">
        <v>50</v>
      </c>
      <c r="H48" s="5"/>
      <c r="I48" s="1" t="s">
        <v>265</v>
      </c>
    </row>
    <row r="49" spans="1:9" x14ac:dyDescent="0.25">
      <c r="A49" s="1" t="s">
        <v>111</v>
      </c>
      <c r="B49" s="7">
        <v>40</v>
      </c>
      <c r="C49" s="10">
        <f>B49*7.7/100</f>
        <v>3.08</v>
      </c>
      <c r="D49" s="10">
        <f>B49*3/100</f>
        <v>1.2</v>
      </c>
      <c r="E49" s="7">
        <f>B49*49.8/100</f>
        <v>19.920000000000002</v>
      </c>
      <c r="F49" s="10">
        <f>B49*262/100</f>
        <v>104.8</v>
      </c>
      <c r="G49" s="5">
        <v>40</v>
      </c>
      <c r="H49" s="5"/>
      <c r="I49" s="1"/>
    </row>
    <row r="50" spans="1:9" x14ac:dyDescent="0.25">
      <c r="A50" s="1" t="s">
        <v>32</v>
      </c>
      <c r="B50" s="7">
        <v>60</v>
      </c>
      <c r="C50" s="10">
        <f>B50*6.6/100</f>
        <v>3.96</v>
      </c>
      <c r="D50" s="10">
        <f>B50*1.2/100</f>
        <v>0.72</v>
      </c>
      <c r="E50" s="7">
        <f>B50*34.2/100</f>
        <v>20.52</v>
      </c>
      <c r="F50" s="10">
        <f>B50*181/100</f>
        <v>108.6</v>
      </c>
      <c r="G50" s="5">
        <v>60</v>
      </c>
      <c r="H50" s="5"/>
      <c r="I50" s="1"/>
    </row>
    <row r="51" spans="1:9" x14ac:dyDescent="0.25">
      <c r="A51" s="2" t="s">
        <v>76</v>
      </c>
      <c r="B51" s="5"/>
      <c r="C51" s="5">
        <f>C30+C38+C43+C43+C47+C48+C49+C50</f>
        <v>36.340999999999994</v>
      </c>
      <c r="D51" s="5">
        <f>D30+D38+D43+D48+D49+D50</f>
        <v>23.749999999999996</v>
      </c>
      <c r="E51" s="5">
        <f>E30+E38+E43+E47+E48+E49+E50</f>
        <v>100.196</v>
      </c>
      <c r="F51" s="13">
        <f>F30+F38+F43+F47+F48+F49+F50</f>
        <v>617.51707317073169</v>
      </c>
      <c r="G51" s="5">
        <v>815</v>
      </c>
      <c r="H51" s="5"/>
      <c r="I51" s="1"/>
    </row>
    <row r="52" spans="1:9" x14ac:dyDescent="0.25">
      <c r="A52" s="1" t="s">
        <v>196</v>
      </c>
      <c r="B52" s="7">
        <v>3</v>
      </c>
      <c r="C52" s="10"/>
      <c r="D52" s="10"/>
      <c r="E52" s="7"/>
      <c r="F52" s="10"/>
      <c r="G52" s="7"/>
      <c r="H52" s="7"/>
      <c r="I52" s="1"/>
    </row>
    <row r="53" spans="1:9" ht="15.75" x14ac:dyDescent="0.25">
      <c r="A53" s="14" t="s">
        <v>164</v>
      </c>
      <c r="B53" s="16"/>
      <c r="C53" s="16">
        <f>C17+C19+C51</f>
        <v>56.701999999999998</v>
      </c>
      <c r="D53" s="16">
        <f>D17+D19+D51</f>
        <v>49.984999999999999</v>
      </c>
      <c r="E53" s="16">
        <f>E17+E19+E51</f>
        <v>183.32599999999999</v>
      </c>
      <c r="F53" s="19">
        <f>F17+F19+F51</f>
        <v>1415.6170731707316</v>
      </c>
      <c r="G53" s="5">
        <f>G17+G19+G51</f>
        <v>1495</v>
      </c>
      <c r="H53" s="7"/>
      <c r="I53" s="1"/>
    </row>
  </sheetData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0" workbookViewId="0">
      <selection activeCell="G58" sqref="G58"/>
    </sheetView>
  </sheetViews>
  <sheetFormatPr defaultRowHeight="15" x14ac:dyDescent="0.25"/>
  <cols>
    <col min="1" max="1" width="43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 x14ac:dyDescent="0.25">
      <c r="A1" s="2"/>
      <c r="B1" s="5" t="s">
        <v>278</v>
      </c>
      <c r="C1" s="5" t="s">
        <v>279</v>
      </c>
      <c r="D1" s="5" t="s">
        <v>280</v>
      </c>
      <c r="E1" s="5" t="s">
        <v>281</v>
      </c>
      <c r="F1" s="5" t="s">
        <v>282</v>
      </c>
      <c r="G1" s="5" t="s">
        <v>283</v>
      </c>
      <c r="H1" s="5" t="s">
        <v>166</v>
      </c>
      <c r="I1" s="2" t="s">
        <v>197</v>
      </c>
    </row>
    <row r="2" spans="1:9" x14ac:dyDescent="0.25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 x14ac:dyDescent="0.25">
      <c r="A3" s="2" t="s">
        <v>167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66</v>
      </c>
      <c r="B4" s="8">
        <v>50</v>
      </c>
      <c r="C4" s="10">
        <f>B4*7/100</f>
        <v>3.5</v>
      </c>
      <c r="D4" s="10">
        <f>B4*1/100</f>
        <v>0.5</v>
      </c>
      <c r="E4" s="7">
        <f>B4*71.4/100</f>
        <v>35.700000000000003</v>
      </c>
      <c r="F4" s="10">
        <f>B4*330/100</f>
        <v>165</v>
      </c>
      <c r="G4" s="7"/>
      <c r="H4" s="7"/>
      <c r="I4" s="1"/>
    </row>
    <row r="5" spans="1:9" x14ac:dyDescent="0.25">
      <c r="A5" s="1" t="s">
        <v>7</v>
      </c>
      <c r="B5" s="8">
        <v>30</v>
      </c>
      <c r="C5" s="10">
        <f>B5*3.5/100</f>
        <v>1.05</v>
      </c>
      <c r="D5" s="10">
        <f>B5*3.5/100</f>
        <v>1.05</v>
      </c>
      <c r="E5" s="7">
        <f>B5*4.7/100</f>
        <v>1.41</v>
      </c>
      <c r="F5" s="10">
        <f>B5*61/100</f>
        <v>18.3</v>
      </c>
      <c r="G5" s="7"/>
      <c r="H5" s="7"/>
      <c r="I5" s="1"/>
    </row>
    <row r="6" spans="1:9" x14ac:dyDescent="0.25">
      <c r="A6" s="1" t="s">
        <v>21</v>
      </c>
      <c r="B6" s="8">
        <v>10</v>
      </c>
      <c r="C6" s="10">
        <f>B6*12.7/100</f>
        <v>1.27</v>
      </c>
      <c r="D6" s="10">
        <f>B6*11.5/100</f>
        <v>1.1499999999999999</v>
      </c>
      <c r="E6" s="7">
        <f>B6*0.7/100</f>
        <v>7.0000000000000007E-2</v>
      </c>
      <c r="F6" s="10">
        <f>B6*157/100</f>
        <v>15.7</v>
      </c>
      <c r="G6" s="7"/>
      <c r="H6" s="7"/>
      <c r="I6" s="1"/>
    </row>
    <row r="7" spans="1:9" x14ac:dyDescent="0.25">
      <c r="A7" s="1" t="s">
        <v>9</v>
      </c>
      <c r="B7" s="8">
        <v>10</v>
      </c>
      <c r="C7" s="10">
        <f>B7*0/100</f>
        <v>0</v>
      </c>
      <c r="D7" s="10">
        <f>B7*0/100</f>
        <v>0</v>
      </c>
      <c r="E7" s="7">
        <f>B7*99.8/100</f>
        <v>9.98</v>
      </c>
      <c r="F7" s="10">
        <f>B7*379/100</f>
        <v>37.9</v>
      </c>
      <c r="G7" s="7"/>
      <c r="H7" s="7"/>
      <c r="I7" s="1"/>
    </row>
    <row r="8" spans="1:9" x14ac:dyDescent="0.25">
      <c r="A8" s="1" t="s">
        <v>8</v>
      </c>
      <c r="B8" s="8">
        <v>3</v>
      </c>
      <c r="C8" s="10">
        <f>B8*0.7/100</f>
        <v>2.0999999999999998E-2</v>
      </c>
      <c r="D8" s="10">
        <f t="shared" ref="D8:D18" si="0">B8*72.5/100</f>
        <v>2.1749999999999998</v>
      </c>
      <c r="E8" s="7">
        <f>B8*1/100</f>
        <v>0.03</v>
      </c>
      <c r="F8" s="10">
        <f>B8*709/100</f>
        <v>21.27</v>
      </c>
      <c r="G8" s="7"/>
      <c r="H8" s="7"/>
      <c r="I8" s="1"/>
    </row>
    <row r="9" spans="1:9" x14ac:dyDescent="0.25">
      <c r="A9" s="1" t="s">
        <v>57</v>
      </c>
      <c r="B9" s="8">
        <v>2</v>
      </c>
      <c r="C9" s="10">
        <f>B9*0/100</f>
        <v>0</v>
      </c>
      <c r="D9" s="10">
        <f>B9*99.9/100</f>
        <v>1.9980000000000002</v>
      </c>
      <c r="E9" s="7">
        <f>B9*0/100</f>
        <v>0</v>
      </c>
      <c r="F9" s="10">
        <f>B9*899/100</f>
        <v>17.98</v>
      </c>
      <c r="G9" s="5"/>
      <c r="H9" s="5"/>
      <c r="I9" s="1"/>
    </row>
    <row r="10" spans="1:9" x14ac:dyDescent="0.25">
      <c r="A10" s="1" t="s">
        <v>62</v>
      </c>
      <c r="B10" s="8">
        <v>30</v>
      </c>
      <c r="C10" s="10">
        <f>B10*7.9/100</f>
        <v>2.37</v>
      </c>
      <c r="D10" s="10">
        <f>B10*8.5/100</f>
        <v>2.5499999999999998</v>
      </c>
      <c r="E10" s="7">
        <f>B10*56/100</f>
        <v>16.8</v>
      </c>
      <c r="F10" s="10">
        <f>B10*320/100</f>
        <v>96</v>
      </c>
      <c r="G10" s="5"/>
      <c r="H10" s="5"/>
      <c r="I10" s="1"/>
    </row>
    <row r="11" spans="1:9" x14ac:dyDescent="0.25">
      <c r="A11" s="2" t="s">
        <v>14</v>
      </c>
      <c r="B11" s="5"/>
      <c r="C11" s="5">
        <f>C4+C5+C6+C7+C8+C9+C10</f>
        <v>8.2110000000000003</v>
      </c>
      <c r="D11" s="5">
        <f>D4+D5+D6+D7+D8+D9+D10</f>
        <v>9.423</v>
      </c>
      <c r="E11" s="5">
        <f>E4+E5+E6+E7+E8+E9+E10</f>
        <v>63.989999999999995</v>
      </c>
      <c r="F11" s="5">
        <f>F4+F5+F6+F7+F8+F9+F10</f>
        <v>372.15000000000003</v>
      </c>
      <c r="G11" s="5" t="s">
        <v>295</v>
      </c>
      <c r="H11" s="5"/>
      <c r="I11" s="1" t="s">
        <v>265</v>
      </c>
    </row>
    <row r="12" spans="1:9" x14ac:dyDescent="0.25">
      <c r="A12" s="2" t="s">
        <v>168</v>
      </c>
      <c r="B12" s="7"/>
      <c r="C12" s="10"/>
      <c r="D12" s="10"/>
      <c r="E12" s="7"/>
      <c r="F12" s="10"/>
      <c r="G12" s="5"/>
      <c r="H12" s="5"/>
      <c r="I12" s="1"/>
    </row>
    <row r="13" spans="1:9" x14ac:dyDescent="0.25">
      <c r="A13" s="1" t="s">
        <v>39</v>
      </c>
      <c r="B13" s="8">
        <v>1.2</v>
      </c>
      <c r="C13" s="10">
        <f>B13*24.2/100</f>
        <v>0.29039999999999999</v>
      </c>
      <c r="D13" s="10">
        <f>B13*17.5/100</f>
        <v>0.21</v>
      </c>
      <c r="E13" s="7">
        <f>B13*27.9/100</f>
        <v>0.33479999999999999</v>
      </c>
      <c r="F13" s="10">
        <f>B13*373/100</f>
        <v>4.476</v>
      </c>
      <c r="G13" s="5"/>
      <c r="H13" s="5"/>
      <c r="I13" s="1"/>
    </row>
    <row r="14" spans="1:9" x14ac:dyDescent="0.25">
      <c r="A14" s="1" t="s">
        <v>99</v>
      </c>
      <c r="B14" s="7">
        <v>120</v>
      </c>
      <c r="C14" s="10">
        <f>B14*2.8/100</f>
        <v>3.36</v>
      </c>
      <c r="D14" s="10">
        <f>B14*3.5/100</f>
        <v>4.2</v>
      </c>
      <c r="E14" s="7">
        <f>B14*4.7/100</f>
        <v>5.64</v>
      </c>
      <c r="F14" s="10">
        <f>B14*61/100</f>
        <v>73.2</v>
      </c>
      <c r="G14" s="5"/>
      <c r="H14" s="5"/>
      <c r="I14" s="1"/>
    </row>
    <row r="15" spans="1:9" x14ac:dyDescent="0.25">
      <c r="A15" s="1" t="s">
        <v>9</v>
      </c>
      <c r="B15" s="8">
        <v>8</v>
      </c>
      <c r="C15" s="10">
        <f>B15*0/100</f>
        <v>0</v>
      </c>
      <c r="D15" s="10">
        <f>B15*0/100</f>
        <v>0</v>
      </c>
      <c r="E15" s="7">
        <f>B15*99.8/100</f>
        <v>7.984</v>
      </c>
      <c r="F15" s="10">
        <f>B15*379/100</f>
        <v>30.32</v>
      </c>
      <c r="G15" s="5"/>
      <c r="H15" s="5"/>
      <c r="I15" s="1"/>
    </row>
    <row r="16" spans="1:9" x14ac:dyDescent="0.25">
      <c r="A16" s="2" t="s">
        <v>14</v>
      </c>
      <c r="B16" s="5"/>
      <c r="C16" s="5">
        <f>C13+C14+C15</f>
        <v>3.6503999999999999</v>
      </c>
      <c r="D16" s="5">
        <f>D13+D14+D15</f>
        <v>4.41</v>
      </c>
      <c r="E16" s="5">
        <f>E13+E14+E15</f>
        <v>13.9588</v>
      </c>
      <c r="F16" s="5">
        <f>F13+F14+F15</f>
        <v>107.99600000000001</v>
      </c>
      <c r="G16" s="5">
        <v>200</v>
      </c>
      <c r="H16" s="5"/>
      <c r="I16" s="1"/>
    </row>
    <row r="17" spans="1:9" x14ac:dyDescent="0.25">
      <c r="A17" s="1" t="s">
        <v>111</v>
      </c>
      <c r="B17" s="7">
        <v>60</v>
      </c>
      <c r="C17" s="10">
        <f>B17*7.7/100</f>
        <v>4.62</v>
      </c>
      <c r="D17" s="10">
        <f>B17*3/100</f>
        <v>1.8</v>
      </c>
      <c r="E17" s="7">
        <f>B17*49.8/100</f>
        <v>29.88</v>
      </c>
      <c r="F17" s="10">
        <f>B17*262/100</f>
        <v>157.19999999999999</v>
      </c>
      <c r="G17" s="5">
        <v>60</v>
      </c>
      <c r="H17" s="5"/>
      <c r="I17" s="1"/>
    </row>
    <row r="18" spans="1:9" x14ac:dyDescent="0.25">
      <c r="A18" s="1" t="s">
        <v>8</v>
      </c>
      <c r="B18" s="7">
        <v>10</v>
      </c>
      <c r="C18" s="10">
        <f>B18*0.7/100</f>
        <v>7.0000000000000007E-2</v>
      </c>
      <c r="D18" s="10">
        <f t="shared" si="0"/>
        <v>7.25</v>
      </c>
      <c r="E18" s="7">
        <f>B18*1/100</f>
        <v>0.1</v>
      </c>
      <c r="F18" s="10">
        <f>B18*709/100</f>
        <v>70.900000000000006</v>
      </c>
      <c r="G18" s="5">
        <v>10</v>
      </c>
      <c r="H18" s="5"/>
      <c r="I18" s="1"/>
    </row>
    <row r="19" spans="1:9" x14ac:dyDescent="0.25">
      <c r="A19" s="2" t="s">
        <v>118</v>
      </c>
      <c r="B19" s="5"/>
      <c r="C19" s="5">
        <f>C11+C16+C17+C18</f>
        <v>16.551400000000001</v>
      </c>
      <c r="D19" s="5">
        <f>D11+D16+D17+D18</f>
        <v>22.883000000000003</v>
      </c>
      <c r="E19" s="5">
        <f>E11+E16+E17+E18</f>
        <v>107.92879999999998</v>
      </c>
      <c r="F19" s="5">
        <f>F11+F16+F17+F18</f>
        <v>708.24599999999998</v>
      </c>
      <c r="G19" s="5">
        <v>535</v>
      </c>
      <c r="H19" s="5"/>
      <c r="I19" s="1" t="s">
        <v>207</v>
      </c>
    </row>
    <row r="20" spans="1:9" ht="13.5" customHeight="1" x14ac:dyDescent="0.25">
      <c r="A20" s="1"/>
      <c r="B20" s="7"/>
      <c r="C20" s="10"/>
      <c r="D20" s="10"/>
      <c r="E20" s="7"/>
      <c r="F20" s="10"/>
      <c r="G20" s="5"/>
      <c r="H20" s="5"/>
      <c r="I20" s="1"/>
    </row>
    <row r="21" spans="1:9" x14ac:dyDescent="0.25">
      <c r="A21" s="2" t="s">
        <v>191</v>
      </c>
      <c r="B21" s="5">
        <v>150</v>
      </c>
      <c r="C21" s="5">
        <f>B21*5/100</f>
        <v>7.5</v>
      </c>
      <c r="D21" s="5">
        <f>B21*1.5/100</f>
        <v>2.25</v>
      </c>
      <c r="E21" s="5">
        <f>B21*8.5/100</f>
        <v>12.75</v>
      </c>
      <c r="F21" s="5">
        <f>B21*51/100</f>
        <v>76.5</v>
      </c>
      <c r="G21" s="5">
        <v>150</v>
      </c>
      <c r="H21" s="5"/>
      <c r="I21" s="1"/>
    </row>
    <row r="22" spans="1:9" ht="10.5" customHeight="1" x14ac:dyDescent="0.25">
      <c r="A22" s="1"/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33</v>
      </c>
      <c r="B23" s="7"/>
      <c r="C23" s="10"/>
      <c r="D23" s="10"/>
      <c r="E23" s="7"/>
      <c r="F23" s="10"/>
      <c r="G23" s="7"/>
      <c r="H23" s="7"/>
      <c r="I23" s="1"/>
    </row>
    <row r="24" spans="1:9" x14ac:dyDescent="0.25">
      <c r="A24" s="2" t="s">
        <v>170</v>
      </c>
      <c r="B24" s="7"/>
      <c r="C24" s="10"/>
      <c r="D24" s="10"/>
      <c r="E24" s="7"/>
      <c r="F24" s="10"/>
      <c r="G24" s="7"/>
      <c r="H24" s="7"/>
      <c r="I24" s="1"/>
    </row>
    <row r="25" spans="1:9" x14ac:dyDescent="0.25">
      <c r="A25" s="23" t="s">
        <v>41</v>
      </c>
      <c r="B25" s="8">
        <v>30</v>
      </c>
      <c r="C25" s="10">
        <f>B25*18.6/100</f>
        <v>5.58</v>
      </c>
      <c r="D25" s="10">
        <f>B25*16/100</f>
        <v>4.8</v>
      </c>
      <c r="E25" s="7">
        <f>B25*0/100</f>
        <v>0</v>
      </c>
      <c r="F25" s="10">
        <f>B25*218/100</f>
        <v>65.400000000000006</v>
      </c>
      <c r="G25" s="7"/>
      <c r="H25" s="7"/>
      <c r="I25" s="1"/>
    </row>
    <row r="26" spans="1:9" x14ac:dyDescent="0.25">
      <c r="A26" s="1" t="s">
        <v>15</v>
      </c>
      <c r="B26" s="8">
        <v>50</v>
      </c>
      <c r="C26" s="10">
        <f>B26*2.8/100</f>
        <v>1.4</v>
      </c>
      <c r="D26" s="10">
        <f>B26*0.4/100</f>
        <v>0.2</v>
      </c>
      <c r="E26" s="7">
        <f>B26*17.3/100</f>
        <v>8.65</v>
      </c>
      <c r="F26" s="10">
        <f>B26*80/100</f>
        <v>40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10">
        <f>B27*1.4/100</f>
        <v>0.182</v>
      </c>
      <c r="D27" s="10">
        <f>B27*0/100</f>
        <v>0</v>
      </c>
      <c r="E27" s="7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171</v>
      </c>
      <c r="B28" s="8">
        <v>13</v>
      </c>
      <c r="C28" s="10">
        <f>B28*1.3/100</f>
        <v>0.16900000000000001</v>
      </c>
      <c r="D28" s="10">
        <f>B28*0.1/100</f>
        <v>1.3000000000000001E-2</v>
      </c>
      <c r="E28" s="7">
        <f>B28*8.4/100</f>
        <v>1.0920000000000001</v>
      </c>
      <c r="F28" s="10">
        <f>B28*34/100</f>
        <v>4.42</v>
      </c>
      <c r="G28" s="7"/>
      <c r="H28" s="7"/>
      <c r="I28" s="1"/>
    </row>
    <row r="29" spans="1:9" x14ac:dyDescent="0.25">
      <c r="A29" s="1" t="s">
        <v>28</v>
      </c>
      <c r="B29" s="10">
        <v>4</v>
      </c>
      <c r="C29" s="10">
        <f>B29*4.8/100</f>
        <v>0.192</v>
      </c>
      <c r="D29" s="10">
        <f>B29*0/100</f>
        <v>0</v>
      </c>
      <c r="E29" s="7">
        <f>B29*19/100</f>
        <v>0.76</v>
      </c>
      <c r="F29" s="10">
        <f>B29*99/100</f>
        <v>3.96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10">
        <f>B30*0.7/100</f>
        <v>1.3999999999999999E-2</v>
      </c>
      <c r="D30" s="10">
        <f>B30*72.5/100</f>
        <v>1.45</v>
      </c>
      <c r="E30" s="7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1" t="s">
        <v>21</v>
      </c>
      <c r="B31" s="8">
        <v>8</v>
      </c>
      <c r="C31" s="10">
        <f>B31*12.7/100</f>
        <v>1.016</v>
      </c>
      <c r="D31" s="10">
        <f>B31*11.5/100</f>
        <v>0.92</v>
      </c>
      <c r="E31" s="7">
        <f>B31*0.7/100</f>
        <v>5.5999999999999994E-2</v>
      </c>
      <c r="F31" s="10">
        <f>B31*157/100</f>
        <v>12.56</v>
      </c>
      <c r="G31" s="5"/>
      <c r="H31" s="5"/>
      <c r="I31" s="1"/>
    </row>
    <row r="32" spans="1:9" x14ac:dyDescent="0.25">
      <c r="A32" s="2" t="s">
        <v>14</v>
      </c>
      <c r="B32" s="5"/>
      <c r="C32" s="5">
        <f>C25+C26+C27+C28+C29+C30+C31</f>
        <v>8.5530000000000008</v>
      </c>
      <c r="D32" s="5">
        <f>D25+D26+D27+D28+D29+D30+D31</f>
        <v>7.383</v>
      </c>
      <c r="E32" s="5">
        <f>E26+E27+E28+E29+E30+E31</f>
        <v>11.760999999999999</v>
      </c>
      <c r="F32" s="5">
        <f>F25+F26+F27+F28+F29+F30+F31</f>
        <v>145.85</v>
      </c>
      <c r="G32" s="5" t="s">
        <v>296</v>
      </c>
      <c r="H32" s="5"/>
      <c r="I32" s="1" t="s">
        <v>266</v>
      </c>
    </row>
    <row r="33" spans="1:9" x14ac:dyDescent="0.25">
      <c r="A33" s="2" t="s">
        <v>277</v>
      </c>
      <c r="B33" s="7"/>
      <c r="C33" s="10"/>
      <c r="D33" s="10"/>
      <c r="E33" s="7"/>
      <c r="F33" s="10"/>
      <c r="G33" s="5"/>
      <c r="H33" s="5"/>
      <c r="I33" s="1"/>
    </row>
    <row r="34" spans="1:9" x14ac:dyDescent="0.25">
      <c r="A34" s="1" t="s">
        <v>173</v>
      </c>
      <c r="B34" s="8">
        <v>80</v>
      </c>
      <c r="C34" s="10">
        <f>B34*17.9/100</f>
        <v>14.32</v>
      </c>
      <c r="D34" s="10">
        <f>B34*3.7/100</f>
        <v>2.96</v>
      </c>
      <c r="E34" s="7">
        <f>B34*0/100</f>
        <v>0</v>
      </c>
      <c r="F34" s="10">
        <f>B34*105/100</f>
        <v>84</v>
      </c>
      <c r="G34" s="5"/>
      <c r="H34" s="5"/>
      <c r="I34" s="1"/>
    </row>
    <row r="35" spans="1:9" x14ac:dyDescent="0.25">
      <c r="A35" s="1" t="s">
        <v>7</v>
      </c>
      <c r="B35" s="8">
        <v>30</v>
      </c>
      <c r="C35" s="10">
        <f>B35*2.8/100</f>
        <v>0.84</v>
      </c>
      <c r="D35" s="10">
        <f>B35*3.5/100</f>
        <v>1.05</v>
      </c>
      <c r="E35" s="7">
        <f>B35*4.7/100</f>
        <v>1.41</v>
      </c>
      <c r="F35" s="10">
        <f>B35*61/100</f>
        <v>18.3</v>
      </c>
      <c r="G35" s="5"/>
      <c r="H35" s="5"/>
      <c r="I35" s="1"/>
    </row>
    <row r="36" spans="1:9" x14ac:dyDescent="0.25">
      <c r="A36" s="1" t="s">
        <v>20</v>
      </c>
      <c r="B36" s="8">
        <v>26</v>
      </c>
      <c r="C36" s="10">
        <f>B36*1.4/100</f>
        <v>0.36399999999999999</v>
      </c>
      <c r="D36" s="10">
        <f>B36*0/100</f>
        <v>0</v>
      </c>
      <c r="E36" s="7">
        <f>B36*9.1/100</f>
        <v>2.3660000000000001</v>
      </c>
      <c r="F36" s="10">
        <f>B36*41/100</f>
        <v>10.66</v>
      </c>
      <c r="G36" s="5"/>
      <c r="H36" s="5"/>
      <c r="I36" s="1"/>
    </row>
    <row r="37" spans="1:9" x14ac:dyDescent="0.25">
      <c r="A37" s="1" t="s">
        <v>16</v>
      </c>
      <c r="B37" s="8">
        <v>13</v>
      </c>
      <c r="C37" s="10">
        <f>B37*1.3/100</f>
        <v>0.16900000000000001</v>
      </c>
      <c r="D37" s="10">
        <f>B37*0.1/100</f>
        <v>1.3000000000000001E-2</v>
      </c>
      <c r="E37" s="7">
        <f>B37*8.4/100</f>
        <v>1.0920000000000001</v>
      </c>
      <c r="F37" s="10">
        <f>B37*34/100</f>
        <v>4.42</v>
      </c>
      <c r="G37" s="5"/>
      <c r="H37" s="5"/>
      <c r="I37" s="1"/>
    </row>
    <row r="38" spans="1:9" x14ac:dyDescent="0.25">
      <c r="A38" s="1" t="s">
        <v>21</v>
      </c>
      <c r="B38" s="8">
        <v>10</v>
      </c>
      <c r="C38" s="10">
        <f>B38*12.7/100</f>
        <v>1.27</v>
      </c>
      <c r="D38" s="10">
        <f>B38*11.5/100</f>
        <v>1.1499999999999999</v>
      </c>
      <c r="E38" s="7">
        <f>B38*0.7/100</f>
        <v>7.0000000000000007E-2</v>
      </c>
      <c r="F38" s="10">
        <f>B38*157/100</f>
        <v>15.7</v>
      </c>
      <c r="G38" s="5"/>
      <c r="H38" s="5"/>
      <c r="I38" s="1"/>
    </row>
    <row r="39" spans="1:9" x14ac:dyDescent="0.25">
      <c r="A39" s="1" t="s">
        <v>123</v>
      </c>
      <c r="B39" s="8">
        <v>5</v>
      </c>
      <c r="C39" s="10">
        <f>B39*10.3/100</f>
        <v>0.51500000000000001</v>
      </c>
      <c r="D39" s="10">
        <f>B39*1.1/100</f>
        <v>5.5E-2</v>
      </c>
      <c r="E39" s="7">
        <f>B39*69/100</f>
        <v>3.45</v>
      </c>
      <c r="F39" s="10">
        <f>B39*334/100</f>
        <v>16.7</v>
      </c>
      <c r="G39" s="5"/>
      <c r="H39" s="5"/>
      <c r="I39" s="1"/>
    </row>
    <row r="40" spans="1:9" x14ac:dyDescent="0.25">
      <c r="A40" s="1" t="s">
        <v>28</v>
      </c>
      <c r="B40" s="8">
        <v>5</v>
      </c>
      <c r="C40" s="10">
        <f>B40*4.8/100</f>
        <v>0.24</v>
      </c>
      <c r="D40" s="10">
        <f>B40*0/100</f>
        <v>0</v>
      </c>
      <c r="E40" s="7">
        <f>B40*19/100</f>
        <v>0.95</v>
      </c>
      <c r="F40" s="10">
        <f>B40*99/100</f>
        <v>4.95</v>
      </c>
      <c r="G40" s="5"/>
      <c r="H40" s="5"/>
      <c r="I40" s="1"/>
    </row>
    <row r="41" spans="1:9" x14ac:dyDescent="0.25">
      <c r="A41" s="1" t="s">
        <v>8</v>
      </c>
      <c r="B41" s="8">
        <v>3</v>
      </c>
      <c r="C41" s="10">
        <f>B41*0.7/100</f>
        <v>2.0999999999999998E-2</v>
      </c>
      <c r="D41" s="10">
        <f t="shared" ref="D41" si="1">B41*72.5/100</f>
        <v>2.1749999999999998</v>
      </c>
      <c r="E41" s="7">
        <f>B41*1/100</f>
        <v>0.03</v>
      </c>
      <c r="F41" s="10">
        <f>B41*709/100</f>
        <v>21.27</v>
      </c>
      <c r="G41" s="5"/>
      <c r="H41" s="5"/>
      <c r="I41" s="1"/>
    </row>
    <row r="42" spans="1:9" x14ac:dyDescent="0.25">
      <c r="A42" s="1" t="s">
        <v>57</v>
      </c>
      <c r="B42" s="8">
        <v>3</v>
      </c>
      <c r="C42" s="10">
        <f>B42*0/100</f>
        <v>0</v>
      </c>
      <c r="D42" s="10">
        <f>B42*99.9/100</f>
        <v>2.9970000000000003</v>
      </c>
      <c r="E42" s="7">
        <f>B42*0/100</f>
        <v>0</v>
      </c>
      <c r="F42" s="10">
        <f>B42*899/100</f>
        <v>26.97</v>
      </c>
      <c r="G42" s="5"/>
      <c r="H42" s="5"/>
      <c r="I42" s="1"/>
    </row>
    <row r="43" spans="1:9" x14ac:dyDescent="0.25">
      <c r="A43" s="2" t="s">
        <v>14</v>
      </c>
      <c r="B43" s="5"/>
      <c r="C43" s="5">
        <f>C34+C35+C36+C37+C38+C39+C40+C41+C42</f>
        <v>17.739000000000001</v>
      </c>
      <c r="D43" s="5">
        <f>D34+D35+D36+D37+D38+D39+D40+D41+D42</f>
        <v>10.4</v>
      </c>
      <c r="E43" s="5">
        <f>E35+E36+E37+E38+E39+E40+E41+E42</f>
        <v>9.3680000000000003</v>
      </c>
      <c r="F43" s="5">
        <f>F34+F35+F36+F37+F38+F39+F40+F41+F42</f>
        <v>202.96999999999997</v>
      </c>
      <c r="G43" s="5" t="s">
        <v>297</v>
      </c>
      <c r="H43" s="5"/>
      <c r="I43" s="1" t="s">
        <v>267</v>
      </c>
    </row>
    <row r="44" spans="1:9" x14ac:dyDescent="0.25">
      <c r="A44" s="2" t="s">
        <v>174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175</v>
      </c>
      <c r="B45" s="8">
        <v>30</v>
      </c>
      <c r="C45" s="10">
        <f>B45*0.8/100</f>
        <v>0.24</v>
      </c>
      <c r="D45" s="10">
        <f>B45*0.4/100</f>
        <v>0.12</v>
      </c>
      <c r="E45" s="7">
        <f>B45*6.3/100</f>
        <v>1.89</v>
      </c>
      <c r="F45" s="10">
        <f>B45*34/100</f>
        <v>10.199999999999999</v>
      </c>
      <c r="G45" s="5"/>
      <c r="H45" s="5"/>
      <c r="I45" s="1"/>
    </row>
    <row r="46" spans="1:9" x14ac:dyDescent="0.25">
      <c r="A46" s="1" t="s">
        <v>53</v>
      </c>
      <c r="B46" s="7">
        <v>2</v>
      </c>
      <c r="C46" s="10">
        <f>B46*0.1/100</f>
        <v>2E-3</v>
      </c>
      <c r="D46" s="10">
        <f>B46*0/100</f>
        <v>0</v>
      </c>
      <c r="E46" s="7">
        <f>B46*0/100</f>
        <v>0</v>
      </c>
      <c r="F46" s="10">
        <f>B46*79.6/100</f>
        <v>1.5919999999999999</v>
      </c>
      <c r="G46" s="5"/>
      <c r="H46" s="5"/>
      <c r="I46" s="1"/>
    </row>
    <row r="47" spans="1:9" x14ac:dyDescent="0.25">
      <c r="A47" s="1" t="s">
        <v>9</v>
      </c>
      <c r="B47" s="7">
        <v>8</v>
      </c>
      <c r="C47" s="10">
        <f>B47*0/100</f>
        <v>0</v>
      </c>
      <c r="D47" s="10">
        <f>B47*0/100</f>
        <v>0</v>
      </c>
      <c r="E47" s="7">
        <f>B47*99.8/100</f>
        <v>7.984</v>
      </c>
      <c r="F47" s="10">
        <f>B47*379/100</f>
        <v>30.32</v>
      </c>
      <c r="G47" s="5"/>
      <c r="H47" s="5"/>
      <c r="I47" s="1"/>
    </row>
    <row r="48" spans="1:9" x14ac:dyDescent="0.25">
      <c r="A48" s="2" t="s">
        <v>14</v>
      </c>
      <c r="B48" s="5"/>
      <c r="C48" s="5">
        <f>C45+C46</f>
        <v>0.24199999999999999</v>
      </c>
      <c r="D48" s="5">
        <f>D45+D46+D47</f>
        <v>0.12</v>
      </c>
      <c r="E48" s="5">
        <f>E45+E46+E47</f>
        <v>9.8740000000000006</v>
      </c>
      <c r="F48" s="5">
        <f>F45+F46+F47</f>
        <v>42.112000000000002</v>
      </c>
      <c r="G48" s="5">
        <v>200</v>
      </c>
      <c r="H48" s="5"/>
      <c r="I48" s="1" t="s">
        <v>212</v>
      </c>
    </row>
    <row r="49" spans="1:9" x14ac:dyDescent="0.25">
      <c r="A49" s="2" t="s">
        <v>176</v>
      </c>
      <c r="B49" s="7"/>
      <c r="C49" s="10"/>
      <c r="D49" s="10"/>
      <c r="E49" s="7"/>
      <c r="F49" s="10"/>
      <c r="G49" s="5"/>
      <c r="H49" s="5"/>
      <c r="I49" s="1"/>
    </row>
    <row r="50" spans="1:9" x14ac:dyDescent="0.25">
      <c r="A50" s="1" t="s">
        <v>42</v>
      </c>
      <c r="B50" s="8">
        <v>50</v>
      </c>
      <c r="C50" s="10">
        <f>B50*1.5/100</f>
        <v>0.75</v>
      </c>
      <c r="D50" s="10">
        <f>B50*0.1/100</f>
        <v>0.05</v>
      </c>
      <c r="E50" s="7">
        <f>B50*10/100</f>
        <v>5</v>
      </c>
      <c r="F50" s="10">
        <f>B50*42/100</f>
        <v>21</v>
      </c>
      <c r="G50" s="5"/>
      <c r="H50" s="5"/>
      <c r="I50" s="1"/>
    </row>
    <row r="51" spans="1:9" x14ac:dyDescent="0.25">
      <c r="A51" s="1" t="s">
        <v>177</v>
      </c>
      <c r="B51" s="8">
        <v>25</v>
      </c>
      <c r="C51" s="10">
        <f>B51*3.2/100</f>
        <v>0.8</v>
      </c>
      <c r="D51" s="10">
        <f>B51*0.2/100</f>
        <v>0.05</v>
      </c>
      <c r="E51" s="7">
        <f>B51*6.5/100</f>
        <v>1.625</v>
      </c>
      <c r="F51" s="10">
        <f>B51*40/100</f>
        <v>10</v>
      </c>
      <c r="G51" s="5"/>
      <c r="H51" s="5"/>
      <c r="I51" s="1"/>
    </row>
    <row r="52" spans="1:9" x14ac:dyDescent="0.25">
      <c r="A52" s="1" t="s">
        <v>57</v>
      </c>
      <c r="B52" s="7">
        <v>5</v>
      </c>
      <c r="C52" s="10">
        <f t="shared" ref="C52" si="2">B52*3.2/100</f>
        <v>0.16</v>
      </c>
      <c r="D52" s="10">
        <f t="shared" ref="D52" si="3">B52*0.2/100</f>
        <v>0.01</v>
      </c>
      <c r="E52" s="7">
        <f t="shared" ref="E52" si="4">B52*6.5/100</f>
        <v>0.32500000000000001</v>
      </c>
      <c r="F52" s="10">
        <f>B52*899/100</f>
        <v>44.95</v>
      </c>
      <c r="G52" s="5"/>
      <c r="H52" s="5"/>
      <c r="I52" s="1" t="s">
        <v>268</v>
      </c>
    </row>
    <row r="53" spans="1:9" x14ac:dyDescent="0.25">
      <c r="A53" s="2" t="s">
        <v>14</v>
      </c>
      <c r="B53" s="5"/>
      <c r="C53" s="5">
        <f>C50+C51+C52</f>
        <v>1.71</v>
      </c>
      <c r="D53" s="5">
        <f>D50+D51+D52</f>
        <v>0.11</v>
      </c>
      <c r="E53" s="5">
        <f>E50+E51+E52</f>
        <v>6.95</v>
      </c>
      <c r="F53" s="5">
        <f>F50+F51+F52</f>
        <v>75.95</v>
      </c>
      <c r="G53" s="5">
        <v>80</v>
      </c>
      <c r="H53" s="5"/>
      <c r="I53" s="1"/>
    </row>
    <row r="54" spans="1:9" x14ac:dyDescent="0.25">
      <c r="A54" s="1" t="s">
        <v>111</v>
      </c>
      <c r="B54" s="7">
        <v>40</v>
      </c>
      <c r="C54" s="10">
        <f>B54*7.7/100</f>
        <v>3.08</v>
      </c>
      <c r="D54" s="10">
        <f>B54*3/100</f>
        <v>1.2</v>
      </c>
      <c r="E54" s="7">
        <f>B54*49.8/100</f>
        <v>19.920000000000002</v>
      </c>
      <c r="F54" s="10">
        <f>B54*262/100</f>
        <v>104.8</v>
      </c>
      <c r="G54" s="5">
        <v>40</v>
      </c>
      <c r="H54" s="5"/>
      <c r="I54" s="1"/>
    </row>
    <row r="55" spans="1:9" x14ac:dyDescent="0.25">
      <c r="A55" s="1" t="s">
        <v>32</v>
      </c>
      <c r="B55" s="7">
        <v>60</v>
      </c>
      <c r="C55" s="10">
        <f>B55*6.6/100</f>
        <v>3.96</v>
      </c>
      <c r="D55" s="10">
        <f>B55*1.8/100</f>
        <v>1.08</v>
      </c>
      <c r="E55" s="7">
        <f>B55*34.2/100</f>
        <v>20.52</v>
      </c>
      <c r="F55" s="10">
        <f>B55*181/100</f>
        <v>108.6</v>
      </c>
      <c r="G55" s="5">
        <v>60</v>
      </c>
      <c r="H55" s="5"/>
      <c r="I55" s="1"/>
    </row>
    <row r="56" spans="1:9" x14ac:dyDescent="0.25">
      <c r="A56" s="2" t="s">
        <v>178</v>
      </c>
      <c r="B56" s="5"/>
      <c r="C56" s="5">
        <f>C32+C43+C48+C53+C54+C55</f>
        <v>35.284000000000006</v>
      </c>
      <c r="D56" s="5">
        <f>D32+D43+D48+D53+D54+D55</f>
        <v>20.292999999999999</v>
      </c>
      <c r="E56" s="5">
        <f>E32+E43+E48+E53+E54+E55</f>
        <v>78.393000000000001</v>
      </c>
      <c r="F56" s="5">
        <f>F32+F43+F48+F53+F54+F55</f>
        <v>680.28199999999993</v>
      </c>
      <c r="G56" s="5">
        <v>780</v>
      </c>
      <c r="H56" s="5"/>
      <c r="I56" s="1"/>
    </row>
    <row r="57" spans="1:9" x14ac:dyDescent="0.25">
      <c r="A57" s="1" t="s">
        <v>196</v>
      </c>
      <c r="B57" s="7">
        <v>3</v>
      </c>
      <c r="C57" s="10"/>
      <c r="D57" s="10"/>
      <c r="E57" s="7"/>
      <c r="F57" s="10"/>
      <c r="G57" s="5"/>
      <c r="H57" s="5"/>
      <c r="I57" s="1"/>
    </row>
    <row r="58" spans="1:9" ht="24.75" customHeight="1" x14ac:dyDescent="0.25">
      <c r="A58" s="14" t="s">
        <v>179</v>
      </c>
      <c r="B58" s="16"/>
      <c r="C58" s="16">
        <f>C19+C21+C56</f>
        <v>59.335400000000007</v>
      </c>
      <c r="D58" s="16">
        <f>D19+D21+D56</f>
        <v>45.426000000000002</v>
      </c>
      <c r="E58" s="16">
        <f>E19+E21+E56</f>
        <v>199.0718</v>
      </c>
      <c r="F58" s="16">
        <f>F19+F21+F56</f>
        <v>1465.0279999999998</v>
      </c>
      <c r="G58" s="5">
        <f>G19+G21+G56</f>
        <v>1465</v>
      </c>
      <c r="H58" s="7"/>
      <c r="I58" s="1"/>
    </row>
  </sheetData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6" zoomScaleNormal="100" workbookViewId="0">
      <selection activeCell="G58" sqref="G58"/>
    </sheetView>
  </sheetViews>
  <sheetFormatPr defaultRowHeight="15" x14ac:dyDescent="0.25"/>
  <cols>
    <col min="1" max="1" width="38.7109375" customWidth="1"/>
    <col min="2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 x14ac:dyDescent="0.25">
      <c r="A1" s="2" t="s">
        <v>10</v>
      </c>
    </row>
    <row r="2" spans="1:9" x14ac:dyDescent="0.25">
      <c r="A2" s="1" t="s">
        <v>0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197</v>
      </c>
    </row>
    <row r="3" spans="1:9" x14ac:dyDescent="0.25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6</v>
      </c>
      <c r="B4" s="7">
        <v>30</v>
      </c>
      <c r="C4" s="7">
        <f>B4*12.6/100</f>
        <v>3.78</v>
      </c>
      <c r="D4" s="7">
        <f>B4*3.3/100</f>
        <v>0.99</v>
      </c>
      <c r="E4" s="7">
        <f>B4*62.1/100</f>
        <v>18.63</v>
      </c>
      <c r="F4" s="7">
        <f>B4*335/100</f>
        <v>100.5</v>
      </c>
      <c r="G4" s="7"/>
      <c r="H4" s="7"/>
      <c r="I4" s="1"/>
    </row>
    <row r="5" spans="1:9" x14ac:dyDescent="0.25">
      <c r="A5" s="1" t="s">
        <v>7</v>
      </c>
      <c r="B5" s="7">
        <v>120</v>
      </c>
      <c r="C5" s="7">
        <f>B5*2.8/100</f>
        <v>3.36</v>
      </c>
      <c r="D5" s="7">
        <f>B5*3.5/100</f>
        <v>4.2</v>
      </c>
      <c r="E5" s="7">
        <f>B5*4.7/100</f>
        <v>5.64</v>
      </c>
      <c r="F5" s="7">
        <f>B5*61/100</f>
        <v>73.2</v>
      </c>
      <c r="G5" s="7"/>
      <c r="H5" s="7"/>
      <c r="I5" s="1"/>
    </row>
    <row r="6" spans="1:9" x14ac:dyDescent="0.25">
      <c r="A6" s="1" t="s">
        <v>8</v>
      </c>
      <c r="B6" s="7">
        <v>4</v>
      </c>
      <c r="C6" s="7">
        <f>B6*0.7/100</f>
        <v>2.7999999999999997E-2</v>
      </c>
      <c r="D6" s="7">
        <f>B6*72.5/100</f>
        <v>2.9</v>
      </c>
      <c r="E6" s="7">
        <f>B6*1/100</f>
        <v>0.04</v>
      </c>
      <c r="F6" s="7">
        <f>B6*709/100</f>
        <v>28.36</v>
      </c>
      <c r="G6" s="7"/>
      <c r="H6" s="7"/>
      <c r="I6" s="1"/>
    </row>
    <row r="7" spans="1:9" x14ac:dyDescent="0.25">
      <c r="A7" s="1" t="s">
        <v>9</v>
      </c>
      <c r="B7" s="8">
        <v>3</v>
      </c>
      <c r="C7" s="7">
        <f>B7*0/100</f>
        <v>0</v>
      </c>
      <c r="D7" s="7">
        <f>B7*0/100</f>
        <v>0</v>
      </c>
      <c r="E7" s="7">
        <f>B7*99.8/100</f>
        <v>2.9939999999999998</v>
      </c>
      <c r="F7" s="7">
        <f>B7*379/100</f>
        <v>11.37</v>
      </c>
      <c r="G7" s="7"/>
      <c r="H7" s="7"/>
      <c r="I7" s="1"/>
    </row>
    <row r="8" spans="1:9" x14ac:dyDescent="0.25">
      <c r="A8" s="2" t="s">
        <v>14</v>
      </c>
      <c r="B8" s="5"/>
      <c r="C8" s="5">
        <f>C4+C5+C6+C7</f>
        <v>7.1679999999999993</v>
      </c>
      <c r="D8" s="5">
        <f t="shared" ref="D8:F8" si="0">D4+D5+D6+D7</f>
        <v>8.09</v>
      </c>
      <c r="E8" s="5">
        <f t="shared" si="0"/>
        <v>27.303999999999998</v>
      </c>
      <c r="F8" s="5">
        <f t="shared" si="0"/>
        <v>213.43</v>
      </c>
      <c r="G8" s="5">
        <v>230</v>
      </c>
      <c r="H8" s="5"/>
      <c r="I8" s="1" t="s">
        <v>198</v>
      </c>
    </row>
    <row r="9" spans="1:9" x14ac:dyDescent="0.25">
      <c r="A9" s="2" t="s">
        <v>188</v>
      </c>
      <c r="B9" s="7"/>
      <c r="C9" s="7"/>
      <c r="D9" s="7"/>
      <c r="E9" s="7"/>
      <c r="F9" s="7"/>
      <c r="G9" s="5"/>
      <c r="H9" s="5"/>
      <c r="I9" s="1"/>
    </row>
    <row r="10" spans="1:9" x14ac:dyDescent="0.25">
      <c r="A10" s="1" t="s">
        <v>11</v>
      </c>
      <c r="B10" s="7">
        <v>1.5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 x14ac:dyDescent="0.25">
      <c r="A11" s="1" t="s">
        <v>9</v>
      </c>
      <c r="B11" s="8">
        <v>8</v>
      </c>
      <c r="C11" s="7">
        <f>B11*0/100</f>
        <v>0</v>
      </c>
      <c r="D11" s="7">
        <f>B11*0/100</f>
        <v>0</v>
      </c>
      <c r="E11" s="7">
        <f>B11*99.8/100</f>
        <v>7.984</v>
      </c>
      <c r="F11" s="7">
        <f>B11*379/100</f>
        <v>30.32</v>
      </c>
      <c r="G11" s="5"/>
      <c r="H11" s="5"/>
      <c r="I11" s="1" t="s">
        <v>199</v>
      </c>
    </row>
    <row r="12" spans="1:9" x14ac:dyDescent="0.25">
      <c r="A12" s="1"/>
      <c r="B12" s="7"/>
      <c r="C12" s="7"/>
      <c r="D12" s="7"/>
      <c r="E12" s="7"/>
      <c r="F12" s="7"/>
      <c r="G12" s="5">
        <v>200</v>
      </c>
      <c r="H12" s="5"/>
      <c r="I12" s="1"/>
    </row>
    <row r="13" spans="1:9" x14ac:dyDescent="0.25">
      <c r="A13" s="1" t="s">
        <v>12</v>
      </c>
      <c r="B13" s="8">
        <v>60</v>
      </c>
      <c r="C13" s="7">
        <f>B13*7.7/100</f>
        <v>4.62</v>
      </c>
      <c r="D13" s="7">
        <f>B13*3/100</f>
        <v>1.8</v>
      </c>
      <c r="E13" s="7">
        <f>B13*49.8/100</f>
        <v>29.88</v>
      </c>
      <c r="F13" s="7">
        <f>B13*262/100</f>
        <v>157.19999999999999</v>
      </c>
      <c r="G13" s="5">
        <v>60</v>
      </c>
      <c r="H13" s="5"/>
      <c r="I13" s="1"/>
    </row>
    <row r="14" spans="1:9" x14ac:dyDescent="0.25">
      <c r="A14" s="1"/>
      <c r="B14" s="7"/>
      <c r="C14" s="7"/>
      <c r="D14" s="7"/>
      <c r="E14" s="7"/>
      <c r="F14" s="7"/>
      <c r="G14" s="5"/>
      <c r="H14" s="5"/>
      <c r="I14" s="1"/>
    </row>
    <row r="15" spans="1:9" x14ac:dyDescent="0.25">
      <c r="A15" s="1" t="s">
        <v>8</v>
      </c>
      <c r="B15" s="7">
        <v>10</v>
      </c>
      <c r="C15" s="7">
        <f>B15*0.7/100</f>
        <v>7.0000000000000007E-2</v>
      </c>
      <c r="D15" s="7">
        <f>B15*72.5/100</f>
        <v>7.25</v>
      </c>
      <c r="E15" s="7">
        <f>B15*1/100</f>
        <v>0.1</v>
      </c>
      <c r="F15" s="7">
        <f>B15*709/100</f>
        <v>70.900000000000006</v>
      </c>
      <c r="G15" s="5">
        <v>10</v>
      </c>
      <c r="H15" s="5"/>
      <c r="I15" s="1"/>
    </row>
    <row r="16" spans="1:9" x14ac:dyDescent="0.25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 x14ac:dyDescent="0.25">
      <c r="A17" s="2" t="s">
        <v>13</v>
      </c>
      <c r="B17" s="8">
        <v>20</v>
      </c>
      <c r="C17" s="7">
        <f>B17*23/100</f>
        <v>4.5999999999999996</v>
      </c>
      <c r="D17" s="7">
        <f>B17*29/100</f>
        <v>5.8</v>
      </c>
      <c r="E17" s="7">
        <f>B17*0/100</f>
        <v>0</v>
      </c>
      <c r="F17" s="7">
        <f>B17*360/100</f>
        <v>72</v>
      </c>
      <c r="G17" s="5">
        <v>20</v>
      </c>
      <c r="H17" s="5"/>
      <c r="I17" s="1" t="s">
        <v>200</v>
      </c>
    </row>
    <row r="18" spans="1:9" x14ac:dyDescent="0.25">
      <c r="A18" s="2" t="s">
        <v>118</v>
      </c>
      <c r="B18" s="5"/>
      <c r="C18" s="5">
        <f>C8+C13+C15+C17</f>
        <v>16.457999999999998</v>
      </c>
      <c r="D18" s="5">
        <f>D8+D13+D15+D17</f>
        <v>22.94</v>
      </c>
      <c r="E18" s="5">
        <f>E8+E11+E13+E15</f>
        <v>65.267999999999986</v>
      </c>
      <c r="F18" s="5">
        <f>F8+F11+F13+F15+F17</f>
        <v>543.85</v>
      </c>
      <c r="G18" s="5">
        <v>520</v>
      </c>
      <c r="H18" s="5"/>
      <c r="I18" s="1"/>
    </row>
    <row r="19" spans="1:9" x14ac:dyDescent="0.25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 x14ac:dyDescent="0.25">
      <c r="A20" s="2" t="s">
        <v>182</v>
      </c>
      <c r="B20" s="5">
        <v>150</v>
      </c>
      <c r="C20" s="5">
        <f>B20*0.4/100</f>
        <v>0.6</v>
      </c>
      <c r="D20" s="5">
        <f>B20*0.4/100</f>
        <v>0.6</v>
      </c>
      <c r="E20" s="5">
        <f>B20*9.8/100</f>
        <v>14.7</v>
      </c>
      <c r="F20" s="5">
        <f>B20*40/100</f>
        <v>60</v>
      </c>
      <c r="G20" s="5">
        <v>150</v>
      </c>
      <c r="H20" s="5"/>
      <c r="I20" s="1" t="s">
        <v>201</v>
      </c>
    </row>
    <row r="21" spans="1:9" x14ac:dyDescent="0.25">
      <c r="A21" s="1"/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2" t="s">
        <v>274</v>
      </c>
      <c r="B23" s="7"/>
      <c r="C23" s="7"/>
      <c r="D23" s="7"/>
      <c r="E23" s="7"/>
      <c r="F23" s="7"/>
      <c r="G23" s="7"/>
      <c r="H23" s="7"/>
      <c r="I23" s="1"/>
    </row>
    <row r="24" spans="1:9" x14ac:dyDescent="0.25">
      <c r="A24" s="1" t="s">
        <v>15</v>
      </c>
      <c r="B24" s="8">
        <v>50</v>
      </c>
      <c r="C24" s="7">
        <f>B24*2/100</f>
        <v>1</v>
      </c>
      <c r="D24" s="7">
        <f>B24*0.4/100</f>
        <v>0.2</v>
      </c>
      <c r="E24" s="7">
        <f>B24*17.3/100</f>
        <v>8.65</v>
      </c>
      <c r="F24" s="7">
        <f>B24*80/100</f>
        <v>40</v>
      </c>
      <c r="G24" s="7"/>
      <c r="H24" s="7"/>
      <c r="I24" s="1"/>
    </row>
    <row r="25" spans="1:9" x14ac:dyDescent="0.25">
      <c r="A25" s="1" t="s">
        <v>20</v>
      </c>
      <c r="B25" s="8">
        <v>13</v>
      </c>
      <c r="C25" s="7">
        <f>B25*1.4/100</f>
        <v>0.182</v>
      </c>
      <c r="D25" s="7">
        <f>B25*0/100</f>
        <v>0</v>
      </c>
      <c r="E25" s="7">
        <f>B25*9.1/100</f>
        <v>1.1830000000000001</v>
      </c>
      <c r="F25" s="7">
        <f>B25*41/100</f>
        <v>5.33</v>
      </c>
      <c r="G25" s="7"/>
      <c r="H25" s="7"/>
      <c r="I25" s="1"/>
    </row>
    <row r="26" spans="1:9" x14ac:dyDescent="0.25">
      <c r="A26" s="1" t="s">
        <v>16</v>
      </c>
      <c r="B26" s="8">
        <v>13</v>
      </c>
      <c r="C26" s="7">
        <f>B26*1.3/100</f>
        <v>0.16900000000000001</v>
      </c>
      <c r="D26" s="7">
        <f>B26*0.1/100</f>
        <v>1.3000000000000001E-2</v>
      </c>
      <c r="E26" s="7">
        <f>B26*8.4/100</f>
        <v>1.0920000000000001</v>
      </c>
      <c r="F26" s="7">
        <f>B26*34/100</f>
        <v>4.42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7">
        <f>B27*0.7/100</f>
        <v>1.3999999999999999E-2</v>
      </c>
      <c r="D27" s="7">
        <f>B27*372.5/100</f>
        <v>7.45</v>
      </c>
      <c r="E27" s="7">
        <f>B27*1/100</f>
        <v>0.02</v>
      </c>
      <c r="F27" s="7">
        <f>B27*709/100</f>
        <v>14.18</v>
      </c>
      <c r="G27" s="7"/>
      <c r="H27" s="7"/>
      <c r="I27" s="1"/>
    </row>
    <row r="28" spans="1:9" x14ac:dyDescent="0.25">
      <c r="A28" s="1" t="s">
        <v>17</v>
      </c>
      <c r="B28" s="8">
        <v>10</v>
      </c>
      <c r="C28" s="7">
        <f>B28*10.7/100</f>
        <v>1.07</v>
      </c>
      <c r="D28" s="7">
        <f>B28*1.3/100</f>
        <v>0.13</v>
      </c>
      <c r="E28" s="7">
        <f>B28*68.4/100</f>
        <v>6.84</v>
      </c>
      <c r="F28" s="7">
        <f>B28*335/100</f>
        <v>33.5</v>
      </c>
      <c r="G28" s="7"/>
      <c r="H28" s="7"/>
      <c r="I28" s="1"/>
    </row>
    <row r="29" spans="1:9" x14ac:dyDescent="0.25">
      <c r="A29" s="1" t="s">
        <v>273</v>
      </c>
      <c r="B29" s="7">
        <v>30</v>
      </c>
      <c r="C29" s="7">
        <f>B29*18.2/100</f>
        <v>5.46</v>
      </c>
      <c r="D29" s="7">
        <f>B29*18.4/100</f>
        <v>5.52</v>
      </c>
      <c r="E29" s="7">
        <f>B29*0.7/100</f>
        <v>0.21</v>
      </c>
      <c r="F29" s="7">
        <f>B29*241/100</f>
        <v>72.3</v>
      </c>
      <c r="G29" s="5">
        <v>250</v>
      </c>
      <c r="H29" s="5"/>
      <c r="I29" s="1"/>
    </row>
    <row r="30" spans="1:9" x14ac:dyDescent="0.25">
      <c r="A30" s="2" t="s">
        <v>14</v>
      </c>
      <c r="B30" s="5"/>
      <c r="C30" s="5">
        <f>C24+C25+C26+C27+C28+C29</f>
        <v>7.8949999999999996</v>
      </c>
      <c r="D30" s="5">
        <f>D24+D25+D26+D27+D28+D29</f>
        <v>13.312999999999999</v>
      </c>
      <c r="E30" s="5">
        <f>E24+E25+E26+E27+E28+E29</f>
        <v>17.995000000000001</v>
      </c>
      <c r="F30" s="5">
        <f>F24+F25+F26+F27+F28+F29</f>
        <v>169.73000000000002</v>
      </c>
      <c r="G30" s="7"/>
      <c r="H30" s="7"/>
      <c r="I30" s="1" t="s">
        <v>202</v>
      </c>
    </row>
    <row r="31" spans="1:9" x14ac:dyDescent="0.25">
      <c r="A31" s="2" t="s">
        <v>24</v>
      </c>
      <c r="B31" s="7"/>
      <c r="C31" s="7"/>
      <c r="D31" s="7"/>
      <c r="E31" s="7"/>
      <c r="F31" s="7"/>
      <c r="G31" s="7"/>
      <c r="H31" s="7"/>
      <c r="I31" s="1"/>
    </row>
    <row r="32" spans="1:9" x14ac:dyDescent="0.25">
      <c r="A32" s="1" t="s">
        <v>19</v>
      </c>
      <c r="B32" s="8">
        <v>110</v>
      </c>
      <c r="C32" s="7">
        <f>B32*18.2/100</f>
        <v>20.02</v>
      </c>
      <c r="D32" s="7">
        <f>B32*18.4/100</f>
        <v>20.239999999999998</v>
      </c>
      <c r="E32" s="7">
        <f>B32*0.7/100</f>
        <v>0.77</v>
      </c>
      <c r="F32" s="7">
        <f>B32*241/100</f>
        <v>265.10000000000002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7">
        <f>B33*1.4/100</f>
        <v>0.182</v>
      </c>
      <c r="D33" s="7">
        <f>B33*0/100</f>
        <v>0</v>
      </c>
      <c r="E33" s="7">
        <f>B33*9.1/100</f>
        <v>1.1830000000000001</v>
      </c>
      <c r="F33" s="7">
        <f>B33*41/100</f>
        <v>5.33</v>
      </c>
      <c r="G33" s="7"/>
      <c r="H33" s="7"/>
      <c r="I33" s="1"/>
    </row>
    <row r="34" spans="1:9" x14ac:dyDescent="0.25">
      <c r="A34" s="1" t="s">
        <v>21</v>
      </c>
      <c r="B34" s="8">
        <v>8</v>
      </c>
      <c r="C34" s="7">
        <f>B34*12.7/40</f>
        <v>2.54</v>
      </c>
      <c r="D34" s="7">
        <f>B34*11.5/40</f>
        <v>2.2999999999999998</v>
      </c>
      <c r="E34" s="7">
        <f>B34*0.7/40</f>
        <v>0.13999999999999999</v>
      </c>
      <c r="F34" s="7">
        <f>B34*157/40</f>
        <v>31.4</v>
      </c>
      <c r="G34" s="7"/>
      <c r="H34" s="7"/>
      <c r="I34" s="1"/>
    </row>
    <row r="35" spans="1:9" x14ac:dyDescent="0.25">
      <c r="A35" s="1" t="s">
        <v>12</v>
      </c>
      <c r="B35" s="7">
        <v>10</v>
      </c>
      <c r="C35" s="7">
        <f>B35*7.7/100</f>
        <v>0.77</v>
      </c>
      <c r="D35" s="7">
        <f>B35*3/100</f>
        <v>0.3</v>
      </c>
      <c r="E35" s="7">
        <f>B35*49.8/100</f>
        <v>4.9800000000000004</v>
      </c>
      <c r="F35" s="7">
        <f>B35*262/100</f>
        <v>26.2</v>
      </c>
      <c r="G35" s="7"/>
      <c r="H35" s="7"/>
      <c r="I35" s="1"/>
    </row>
    <row r="36" spans="1:9" x14ac:dyDescent="0.25">
      <c r="A36" s="1" t="s">
        <v>57</v>
      </c>
      <c r="B36" s="7">
        <v>5</v>
      </c>
      <c r="C36" s="7">
        <f>B36*0/100</f>
        <v>0</v>
      </c>
      <c r="D36" s="7">
        <f>B36*99.9/100</f>
        <v>4.9950000000000001</v>
      </c>
      <c r="E36" s="7">
        <f>B36*0/100</f>
        <v>0</v>
      </c>
      <c r="F36" s="7">
        <f>B36*899/100</f>
        <v>44.95</v>
      </c>
      <c r="G36" s="7"/>
      <c r="H36" s="7"/>
      <c r="I36" s="1"/>
    </row>
    <row r="37" spans="1:9" x14ac:dyDescent="0.25">
      <c r="A37" s="2" t="s">
        <v>14</v>
      </c>
      <c r="B37" s="5"/>
      <c r="C37" s="5">
        <f>C32+C33+C34+C35</f>
        <v>23.511999999999997</v>
      </c>
      <c r="D37" s="5">
        <f>(D32+D33+D34+D35+D36)</f>
        <v>27.835000000000001</v>
      </c>
      <c r="E37" s="5">
        <f>E32+E33+E34+E35</f>
        <v>7.0730000000000004</v>
      </c>
      <c r="F37" s="5">
        <f>(F32+F33+F34+F35+F36)</f>
        <v>372.97999999999996</v>
      </c>
      <c r="G37" s="5">
        <v>90</v>
      </c>
      <c r="H37" s="5"/>
      <c r="I37" s="1" t="s">
        <v>203</v>
      </c>
    </row>
    <row r="38" spans="1:9" x14ac:dyDescent="0.25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 x14ac:dyDescent="0.25">
      <c r="A39" s="1" t="s">
        <v>15</v>
      </c>
      <c r="B39" s="8">
        <v>50</v>
      </c>
      <c r="C39" s="7">
        <f>B39*2/100</f>
        <v>1</v>
      </c>
      <c r="D39" s="7">
        <f>B39*0.4/100</f>
        <v>0.2</v>
      </c>
      <c r="E39" s="7">
        <f>B39*17.3/100</f>
        <v>8.65</v>
      </c>
      <c r="F39" s="7">
        <f>B39*80/100</f>
        <v>40</v>
      </c>
      <c r="G39" s="7"/>
      <c r="H39" s="7"/>
      <c r="I39" s="1"/>
    </row>
    <row r="40" spans="1:9" x14ac:dyDescent="0.25">
      <c r="A40" s="1" t="s">
        <v>26</v>
      </c>
      <c r="B40" s="8">
        <v>50</v>
      </c>
      <c r="C40" s="7">
        <f>B40*1.8/100</f>
        <v>0.9</v>
      </c>
      <c r="D40" s="7">
        <f>B40*0.1/100</f>
        <v>0.05</v>
      </c>
      <c r="E40" s="7">
        <f>B40*4.7/100</f>
        <v>2.35</v>
      </c>
      <c r="F40" s="7">
        <f>B40*27/100</f>
        <v>13.5</v>
      </c>
      <c r="G40" s="7"/>
      <c r="H40" s="7"/>
      <c r="I40" s="1"/>
    </row>
    <row r="41" spans="1:9" x14ac:dyDescent="0.25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 x14ac:dyDescent="0.25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 x14ac:dyDescent="0.25">
      <c r="A43" s="1" t="s">
        <v>27</v>
      </c>
      <c r="B43" s="8">
        <v>20</v>
      </c>
      <c r="C43" s="7">
        <f>B43*3.2/100</f>
        <v>0.64</v>
      </c>
      <c r="D43" s="7">
        <f>B43*0.2/100</f>
        <v>0.04</v>
      </c>
      <c r="E43" s="7">
        <f>B43*6.5/100</f>
        <v>1.3</v>
      </c>
      <c r="F43" s="7">
        <f>B43*40/100</f>
        <v>8</v>
      </c>
      <c r="G43" s="7"/>
      <c r="H43" s="7"/>
      <c r="I43" s="1"/>
    </row>
    <row r="44" spans="1:9" x14ac:dyDescent="0.25">
      <c r="A44" s="1" t="s">
        <v>28</v>
      </c>
      <c r="B44" s="8">
        <v>5</v>
      </c>
      <c r="C44" s="7">
        <f>B44*4.8/100</f>
        <v>0.24</v>
      </c>
      <c r="D44" s="7">
        <f t="shared" si="2"/>
        <v>0.16500000000000001</v>
      </c>
      <c r="E44" s="7">
        <f t="shared" si="3"/>
        <v>3.105</v>
      </c>
      <c r="F44" s="7">
        <f>B44*99/100</f>
        <v>4.95</v>
      </c>
      <c r="G44" s="7"/>
      <c r="H44" s="7"/>
      <c r="I44" s="1"/>
    </row>
    <row r="45" spans="1:9" x14ac:dyDescent="0.25">
      <c r="A45" s="1" t="s">
        <v>8</v>
      </c>
      <c r="B45" s="8">
        <v>3</v>
      </c>
      <c r="C45" s="7">
        <f>B45*0.7/100</f>
        <v>2.0999999999999998E-2</v>
      </c>
      <c r="D45" s="7">
        <f>B45*72.5/100</f>
        <v>2.1749999999999998</v>
      </c>
      <c r="E45" s="7">
        <f>B45*1/100</f>
        <v>0.03</v>
      </c>
      <c r="F45" s="7">
        <f>B45*709/100</f>
        <v>21.27</v>
      </c>
      <c r="G45" s="5">
        <v>90</v>
      </c>
      <c r="H45" s="5"/>
      <c r="I45" s="1" t="s">
        <v>204</v>
      </c>
    </row>
    <row r="46" spans="1:9" x14ac:dyDescent="0.25">
      <c r="A46" s="2" t="s">
        <v>14</v>
      </c>
      <c r="B46" s="5"/>
      <c r="C46" s="5">
        <f>C39+C40+C41+C42+C43+C44+C45</f>
        <v>3.1520000000000001</v>
      </c>
      <c r="D46" s="5">
        <f>D39+D40+D41+D42+D43+D44+D45</f>
        <v>2.6429999999999998</v>
      </c>
      <c r="E46" s="5">
        <f>E39+E40+E41+E42+E43+E44+E45</f>
        <v>17.71</v>
      </c>
      <c r="F46" s="5">
        <f>F39+F40+F41+F42+F43+F44+F45</f>
        <v>97.47</v>
      </c>
      <c r="G46" s="7"/>
      <c r="H46" s="7"/>
      <c r="I46" s="1"/>
    </row>
    <row r="47" spans="1:9" x14ac:dyDescent="0.25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 x14ac:dyDescent="0.25">
      <c r="A48" s="1" t="s">
        <v>30</v>
      </c>
      <c r="B48" s="8">
        <v>12</v>
      </c>
      <c r="C48" s="7">
        <f>B48*3.4/100</f>
        <v>0.40799999999999997</v>
      </c>
      <c r="D48" s="7">
        <f>B48*0/100</f>
        <v>0</v>
      </c>
      <c r="E48" s="7">
        <f>B48*21.5/100</f>
        <v>2.58</v>
      </c>
      <c r="F48" s="7">
        <f>B48*110/100</f>
        <v>13.2</v>
      </c>
      <c r="G48" s="7"/>
      <c r="H48" s="7"/>
      <c r="I48" s="1"/>
    </row>
    <row r="49" spans="1:9" x14ac:dyDescent="0.25">
      <c r="A49" s="1" t="s">
        <v>9</v>
      </c>
      <c r="B49" s="8">
        <v>7</v>
      </c>
      <c r="C49" s="7">
        <f>B49*0/100</f>
        <v>0</v>
      </c>
      <c r="D49" s="7">
        <f>B49*0/100</f>
        <v>0</v>
      </c>
      <c r="E49" s="7">
        <f>B49*99.8/100</f>
        <v>6.9860000000000007</v>
      </c>
      <c r="F49" s="7">
        <f>B49*379/100</f>
        <v>26.53</v>
      </c>
      <c r="G49" s="7"/>
      <c r="H49" s="7"/>
      <c r="I49" s="1"/>
    </row>
    <row r="50" spans="1:9" x14ac:dyDescent="0.25">
      <c r="A50" s="2" t="s">
        <v>14</v>
      </c>
      <c r="B50" s="5"/>
      <c r="C50" s="5">
        <f>C48+C49</f>
        <v>0.40799999999999997</v>
      </c>
      <c r="D50" s="5">
        <f t="shared" si="2"/>
        <v>0</v>
      </c>
      <c r="E50" s="5">
        <f>E48+E49</f>
        <v>9.5660000000000007</v>
      </c>
      <c r="F50" s="5">
        <f>F48+F49</f>
        <v>39.730000000000004</v>
      </c>
      <c r="G50" s="5">
        <v>200</v>
      </c>
      <c r="H50" s="5"/>
      <c r="I50" s="1" t="s">
        <v>205</v>
      </c>
    </row>
    <row r="51" spans="1:9" x14ac:dyDescent="0.25">
      <c r="A51" s="1" t="s">
        <v>31</v>
      </c>
      <c r="B51" s="8">
        <v>30</v>
      </c>
      <c r="C51" s="7">
        <f>B51*7.7/100</f>
        <v>2.31</v>
      </c>
      <c r="D51" s="7">
        <f>B51*3/100</f>
        <v>0.9</v>
      </c>
      <c r="E51" s="7">
        <f>B51*49.8/100</f>
        <v>14.94</v>
      </c>
      <c r="F51" s="7">
        <f>B51*262/100</f>
        <v>78.599999999999994</v>
      </c>
      <c r="G51" s="5">
        <v>30</v>
      </c>
      <c r="H51" s="5"/>
      <c r="I51" s="1"/>
    </row>
    <row r="52" spans="1:9" x14ac:dyDescent="0.25">
      <c r="A52" s="1" t="s">
        <v>32</v>
      </c>
      <c r="B52" s="8">
        <v>60</v>
      </c>
      <c r="C52" s="7">
        <f>B52*6.6/100</f>
        <v>3.96</v>
      </c>
      <c r="D52" s="7">
        <f>B52*1.2/100</f>
        <v>0.72</v>
      </c>
      <c r="E52" s="7">
        <f>B52*34.2/100</f>
        <v>20.52</v>
      </c>
      <c r="F52" s="7">
        <f>B52*181/100</f>
        <v>108.6</v>
      </c>
      <c r="G52" s="5">
        <v>60</v>
      </c>
      <c r="H52" s="5"/>
      <c r="I52" s="1"/>
    </row>
    <row r="53" spans="1:9" x14ac:dyDescent="0.25">
      <c r="A53" s="2" t="s">
        <v>14</v>
      </c>
      <c r="B53" s="5"/>
      <c r="C53" s="5">
        <f>C51+C52</f>
        <v>6.27</v>
      </c>
      <c r="D53" s="5">
        <f>D51+D52</f>
        <v>1.62</v>
      </c>
      <c r="E53" s="5">
        <f>E51+E52</f>
        <v>35.46</v>
      </c>
      <c r="F53" s="5">
        <f>F51+F52</f>
        <v>187.2</v>
      </c>
      <c r="G53" s="7"/>
      <c r="H53" s="7"/>
      <c r="I53" s="1"/>
    </row>
    <row r="54" spans="1:9" x14ac:dyDescent="0.25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5"/>
      <c r="I54" s="1" t="s">
        <v>206</v>
      </c>
    </row>
    <row r="55" spans="1:9" ht="20.25" customHeight="1" x14ac:dyDescent="0.25">
      <c r="A55" s="2" t="s">
        <v>76</v>
      </c>
      <c r="B55" s="5"/>
      <c r="C55" s="5">
        <f>C30+C37+C46+C50+C51+C52+C53</f>
        <v>47.507000000000005</v>
      </c>
      <c r="D55" s="5">
        <f>D30+D37+D46+D50+D51+D52+D53+D54</f>
        <v>47.170999999999992</v>
      </c>
      <c r="E55" s="5">
        <f>E30+E37+E46+E50+E53+E54</f>
        <v>90.463999999999999</v>
      </c>
      <c r="F55" s="5">
        <f>F30+F37+F46+F50+F53+F54</f>
        <v>883.21000000000015</v>
      </c>
      <c r="G55" s="5">
        <v>785</v>
      </c>
      <c r="H55" s="7"/>
      <c r="I55" s="1"/>
    </row>
    <row r="56" spans="1:9" x14ac:dyDescent="0.25">
      <c r="A56" s="1" t="s">
        <v>196</v>
      </c>
      <c r="B56" s="7">
        <v>3</v>
      </c>
      <c r="C56" s="18"/>
      <c r="D56" s="7"/>
      <c r="E56" s="7"/>
      <c r="F56" s="7"/>
      <c r="G56" s="5"/>
      <c r="H56" s="5"/>
      <c r="I56" s="1"/>
    </row>
    <row r="57" spans="1:9" ht="21" customHeight="1" x14ac:dyDescent="0.25">
      <c r="A57" s="14" t="s">
        <v>185</v>
      </c>
      <c r="B57" s="16"/>
      <c r="C57" s="16">
        <f>C18+C20+C55</f>
        <v>64.564999999999998</v>
      </c>
      <c r="D57" s="16">
        <f>D18+D20+D55</f>
        <v>70.710999999999999</v>
      </c>
      <c r="E57" s="16">
        <f>E18+E20+E55</f>
        <v>170.43199999999999</v>
      </c>
      <c r="F57" s="16">
        <f>F18+F20+F55</f>
        <v>1487.0600000000002</v>
      </c>
      <c r="G57" s="5">
        <f>G18+G20+G55</f>
        <v>1455</v>
      </c>
      <c r="H57" s="5"/>
      <c r="I57" s="1"/>
    </row>
    <row r="58" spans="1:9" s="20" customFormat="1" ht="27.75" customHeight="1" x14ac:dyDescent="0.25">
      <c r="A58" s="2" t="s">
        <v>286</v>
      </c>
      <c r="B58" s="5"/>
      <c r="C58" s="5"/>
      <c r="D58" s="5"/>
      <c r="E58" s="5"/>
      <c r="F58" s="5"/>
      <c r="G58" s="5"/>
      <c r="H58" s="5"/>
      <c r="I58" s="2"/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2" zoomScaleNormal="100" workbookViewId="0">
      <selection activeCell="G65" sqref="G65"/>
    </sheetView>
  </sheetViews>
  <sheetFormatPr defaultRowHeight="15" x14ac:dyDescent="0.25"/>
  <cols>
    <col min="1" max="1" width="42" customWidth="1"/>
    <col min="7" max="7" width="14.7109375" customWidth="1"/>
    <col min="9" max="9" width="13.85546875" customWidth="1"/>
  </cols>
  <sheetData>
    <row r="1" spans="1:9" x14ac:dyDescent="0.25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 x14ac:dyDescent="0.25">
      <c r="A2" s="3" t="s">
        <v>36</v>
      </c>
      <c r="B2" s="5" t="s">
        <v>278</v>
      </c>
      <c r="C2" s="5" t="s">
        <v>279</v>
      </c>
      <c r="D2" s="5" t="s">
        <v>280</v>
      </c>
      <c r="E2" s="5" t="s">
        <v>281</v>
      </c>
      <c r="F2" s="5" t="s">
        <v>282</v>
      </c>
      <c r="G2" s="5" t="s">
        <v>283</v>
      </c>
      <c r="H2" s="5" t="s">
        <v>35</v>
      </c>
      <c r="I2" s="2" t="s">
        <v>197</v>
      </c>
    </row>
    <row r="3" spans="1:9" x14ac:dyDescent="0.25">
      <c r="A3" s="22" t="s">
        <v>301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41</v>
      </c>
      <c r="B4" s="8">
        <v>90</v>
      </c>
      <c r="C4" s="10">
        <f>B4*18.6/100</f>
        <v>16.740000000000002</v>
      </c>
      <c r="D4" s="10">
        <f>B4*16/100</f>
        <v>14.4</v>
      </c>
      <c r="E4" s="10">
        <f>B4*0/100</f>
        <v>0</v>
      </c>
      <c r="F4" s="10">
        <f>B4*218/100</f>
        <v>196.2</v>
      </c>
      <c r="G4" s="5"/>
      <c r="H4" s="5"/>
      <c r="I4" s="1"/>
    </row>
    <row r="5" spans="1:9" x14ac:dyDescent="0.25">
      <c r="A5" s="1" t="s">
        <v>20</v>
      </c>
      <c r="B5" s="8">
        <v>13</v>
      </c>
      <c r="C5" s="10">
        <f>B5*1.4/100</f>
        <v>0.182</v>
      </c>
      <c r="D5" s="10">
        <f>B5*0/100</f>
        <v>0</v>
      </c>
      <c r="E5" s="10">
        <f>B5*9.1/100</f>
        <v>1.1830000000000001</v>
      </c>
      <c r="F5" s="10">
        <f>B5*41/100</f>
        <v>5.33</v>
      </c>
      <c r="G5" s="5"/>
      <c r="H5" s="5"/>
      <c r="I5" s="1"/>
    </row>
    <row r="6" spans="1:9" x14ac:dyDescent="0.25">
      <c r="A6" s="1" t="s">
        <v>21</v>
      </c>
      <c r="B6" s="8">
        <v>8</v>
      </c>
      <c r="C6" s="10">
        <f>B6*12.7/100</f>
        <v>1.016</v>
      </c>
      <c r="D6" s="10">
        <f>B6*11.5/100</f>
        <v>0.92</v>
      </c>
      <c r="E6" s="10">
        <f>B6*0.7/100</f>
        <v>5.5999999999999994E-2</v>
      </c>
      <c r="F6" s="10">
        <f>B6*157/100</f>
        <v>12.56</v>
      </c>
      <c r="G6" s="5"/>
      <c r="H6" s="5"/>
      <c r="I6" s="1"/>
    </row>
    <row r="7" spans="1:9" x14ac:dyDescent="0.25">
      <c r="A7" s="1" t="s">
        <v>12</v>
      </c>
      <c r="B7" s="8">
        <v>10</v>
      </c>
      <c r="C7" s="10">
        <f>B7*7.7/100</f>
        <v>0.77</v>
      </c>
      <c r="D7" s="10">
        <f>B7*3/100</f>
        <v>0.3</v>
      </c>
      <c r="E7" s="10">
        <f>B7*49.8/100</f>
        <v>4.9800000000000004</v>
      </c>
      <c r="F7" s="10">
        <f>B7*262/100</f>
        <v>26.2</v>
      </c>
      <c r="G7" s="5"/>
      <c r="H7" s="5"/>
      <c r="I7" s="1"/>
    </row>
    <row r="8" spans="1:9" x14ac:dyDescent="0.25">
      <c r="A8" s="1" t="s">
        <v>57</v>
      </c>
      <c r="B8" s="8">
        <v>6</v>
      </c>
      <c r="C8" s="10">
        <f>B8*0/100</f>
        <v>0</v>
      </c>
      <c r="D8" s="10">
        <f t="shared" ref="D8" si="0">B8*8.5/100</f>
        <v>0.51</v>
      </c>
      <c r="E8" s="10">
        <f>B8*0/100</f>
        <v>0</v>
      </c>
      <c r="F8" s="10">
        <f>B8*899/100</f>
        <v>53.94</v>
      </c>
      <c r="G8" s="5"/>
      <c r="H8" s="5"/>
      <c r="I8" s="1"/>
    </row>
    <row r="9" spans="1:9" x14ac:dyDescent="0.25">
      <c r="A9" s="2" t="s">
        <v>14</v>
      </c>
      <c r="B9" s="5"/>
      <c r="C9" s="5">
        <f>C4+C5+C6+C7+C8</f>
        <v>18.708000000000002</v>
      </c>
      <c r="D9" s="5">
        <f>D4+D5+D6+D7+D8</f>
        <v>16.130000000000003</v>
      </c>
      <c r="E9" s="5">
        <f>E5+E6+E7+E8</f>
        <v>6.2190000000000003</v>
      </c>
      <c r="F9" s="5">
        <f>F4+F5+F6+F7+F8</f>
        <v>294.23</v>
      </c>
      <c r="G9" s="5">
        <v>100</v>
      </c>
      <c r="H9" s="5"/>
      <c r="I9" s="1" t="s">
        <v>239</v>
      </c>
    </row>
    <row r="10" spans="1:9" x14ac:dyDescent="0.25">
      <c r="A10" s="2" t="s">
        <v>303</v>
      </c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3" t="s">
        <v>302</v>
      </c>
      <c r="B11" s="8">
        <v>45</v>
      </c>
      <c r="C11" s="10">
        <f>B11*10.4/100</f>
        <v>4.68</v>
      </c>
      <c r="D11" s="10">
        <f>B11*1.1/100</f>
        <v>0.49500000000000005</v>
      </c>
      <c r="E11" s="10">
        <f>B11*69.7/100</f>
        <v>31.364999999999998</v>
      </c>
      <c r="F11" s="10">
        <f>B11*337/100</f>
        <v>151.65</v>
      </c>
      <c r="G11" s="7"/>
      <c r="H11" s="7"/>
      <c r="I11" s="1"/>
    </row>
    <row r="12" spans="1:9" x14ac:dyDescent="0.25">
      <c r="A12" s="3" t="s">
        <v>8</v>
      </c>
      <c r="B12" s="7">
        <v>2</v>
      </c>
      <c r="C12" s="10">
        <f>B12*0.7/100</f>
        <v>1.3999999999999999E-2</v>
      </c>
      <c r="D12" s="10">
        <f>B12*72.5/100</f>
        <v>1.45</v>
      </c>
      <c r="E12" s="10">
        <f>B12*1/100</f>
        <v>0.02</v>
      </c>
      <c r="F12" s="10">
        <f>B12*709/100</f>
        <v>14.18</v>
      </c>
      <c r="G12" s="7"/>
      <c r="H12" s="7"/>
      <c r="I12" s="1"/>
    </row>
    <row r="13" spans="1:9" x14ac:dyDescent="0.25">
      <c r="A13" s="2" t="s">
        <v>14</v>
      </c>
      <c r="B13" s="5"/>
      <c r="C13" s="5">
        <f>C11+C12</f>
        <v>4.694</v>
      </c>
      <c r="D13" s="5">
        <f>D11+D12</f>
        <v>1.9450000000000001</v>
      </c>
      <c r="E13" s="5">
        <f>E11+E12</f>
        <v>31.384999999999998</v>
      </c>
      <c r="F13" s="5">
        <f>F11+F12</f>
        <v>165.83</v>
      </c>
      <c r="G13" s="5">
        <v>130</v>
      </c>
      <c r="H13" s="5"/>
      <c r="I13" s="1" t="s">
        <v>251</v>
      </c>
    </row>
    <row r="14" spans="1:9" x14ac:dyDescent="0.25">
      <c r="A14" s="2" t="s">
        <v>77</v>
      </c>
      <c r="B14" s="7"/>
      <c r="C14" s="7">
        <f t="shared" ref="C14" si="1">B14*12.6/100</f>
        <v>0</v>
      </c>
      <c r="D14" s="7">
        <f t="shared" ref="D14" si="2">B14*3.3/100</f>
        <v>0</v>
      </c>
      <c r="E14" s="7">
        <f t="shared" ref="E14:E54" si="3">B14*1/100</f>
        <v>0</v>
      </c>
      <c r="F14" s="7">
        <f t="shared" ref="F14:F54" si="4">B14*379/100</f>
        <v>0</v>
      </c>
      <c r="G14" s="7"/>
      <c r="H14" s="7"/>
      <c r="I14" s="1"/>
    </row>
    <row r="15" spans="1:9" x14ac:dyDescent="0.25">
      <c r="A15" s="1" t="s">
        <v>39</v>
      </c>
      <c r="B15" s="8">
        <v>2</v>
      </c>
      <c r="C15" s="7">
        <f>B15*24.2/100</f>
        <v>0.48399999999999999</v>
      </c>
      <c r="D15" s="7">
        <f>B15*17.5/100</f>
        <v>0.35</v>
      </c>
      <c r="E15" s="7">
        <f>B15*27.9/100</f>
        <v>0.55799999999999994</v>
      </c>
      <c r="F15" s="7">
        <f>B15*373/100</f>
        <v>7.46</v>
      </c>
      <c r="G15" s="7"/>
      <c r="H15" s="7"/>
      <c r="I15" s="1"/>
    </row>
    <row r="16" spans="1:9" x14ac:dyDescent="0.25">
      <c r="A16" s="1" t="s">
        <v>7</v>
      </c>
      <c r="B16" s="8">
        <v>120</v>
      </c>
      <c r="C16" s="7">
        <f>B16*2.8/100</f>
        <v>3.36</v>
      </c>
      <c r="D16" s="7">
        <f>B16*3.5/100</f>
        <v>4.2</v>
      </c>
      <c r="E16" s="7">
        <f>B16*4.7/100</f>
        <v>5.64</v>
      </c>
      <c r="F16" s="7">
        <f>B16*61/100</f>
        <v>73.2</v>
      </c>
      <c r="G16" s="7"/>
      <c r="H16" s="7"/>
      <c r="I16" s="1"/>
    </row>
    <row r="17" spans="1:9" x14ac:dyDescent="0.25">
      <c r="A17" s="1" t="s">
        <v>9</v>
      </c>
      <c r="B17" s="8">
        <v>9</v>
      </c>
      <c r="C17" s="7">
        <f>B17*0/100</f>
        <v>0</v>
      </c>
      <c r="D17" s="7">
        <f>B17*0/100</f>
        <v>0</v>
      </c>
      <c r="E17" s="7">
        <f>B17*199.8/100</f>
        <v>17.981999999999999</v>
      </c>
      <c r="F17" s="7">
        <f>B17*379/100</f>
        <v>34.11</v>
      </c>
      <c r="G17" s="5"/>
      <c r="H17" s="5"/>
      <c r="I17" s="1"/>
    </row>
    <row r="18" spans="1:9" ht="19.5" customHeight="1" x14ac:dyDescent="0.25">
      <c r="A18" s="2" t="s">
        <v>14</v>
      </c>
      <c r="B18" s="5"/>
      <c r="C18" s="5">
        <f>C14+C15+C16</f>
        <v>3.8439999999999999</v>
      </c>
      <c r="D18" s="5">
        <f>D15+D16+D17</f>
        <v>4.55</v>
      </c>
      <c r="E18" s="5">
        <f>E15+E16+E17</f>
        <v>24.18</v>
      </c>
      <c r="F18" s="5">
        <f>F15+F16+F17</f>
        <v>114.77</v>
      </c>
      <c r="G18" s="5">
        <v>200</v>
      </c>
      <c r="H18" s="5"/>
      <c r="I18" s="1" t="s">
        <v>207</v>
      </c>
    </row>
    <row r="19" spans="1:9" x14ac:dyDescent="0.25">
      <c r="A19" s="1" t="s">
        <v>40</v>
      </c>
      <c r="B19" s="8">
        <v>60</v>
      </c>
      <c r="C19" s="7">
        <f>B19*7.6/100</f>
        <v>4.5599999999999996</v>
      </c>
      <c r="D19" s="7">
        <f>B19*3/100</f>
        <v>1.8</v>
      </c>
      <c r="E19" s="7">
        <f>B19*49.8/100</f>
        <v>29.88</v>
      </c>
      <c r="F19" s="7">
        <f>B19*262/100</f>
        <v>157.19999999999999</v>
      </c>
      <c r="G19" s="5">
        <v>60</v>
      </c>
      <c r="H19" s="5"/>
      <c r="I19" s="1"/>
    </row>
    <row r="20" spans="1:9" x14ac:dyDescent="0.25">
      <c r="A20" s="1"/>
      <c r="B20" s="7"/>
      <c r="C20" s="7"/>
      <c r="D20" s="7"/>
      <c r="E20" s="7"/>
      <c r="F20" s="7"/>
      <c r="G20" s="5"/>
      <c r="H20" s="5"/>
      <c r="I20" s="1"/>
    </row>
    <row r="21" spans="1:9" x14ac:dyDescent="0.25">
      <c r="A21" s="1" t="s">
        <v>8</v>
      </c>
      <c r="B21" s="8">
        <v>10</v>
      </c>
      <c r="C21" s="7">
        <f>B21*0.7/100</f>
        <v>7.0000000000000007E-2</v>
      </c>
      <c r="D21" s="7">
        <f>B21*72.5/100</f>
        <v>7.25</v>
      </c>
      <c r="E21" s="7">
        <f>B21*1/100</f>
        <v>0.1</v>
      </c>
      <c r="F21" s="7">
        <f>B21*709/100</f>
        <v>70.900000000000006</v>
      </c>
      <c r="G21" s="5">
        <v>10</v>
      </c>
      <c r="H21" s="5"/>
      <c r="I21" s="1"/>
    </row>
    <row r="22" spans="1:9" x14ac:dyDescent="0.25">
      <c r="A22" s="1"/>
      <c r="B22" s="7"/>
      <c r="C22" s="7">
        <f t="shared" ref="C22" si="5">B22*12.6/100</f>
        <v>0</v>
      </c>
      <c r="D22" s="7">
        <f t="shared" ref="D22:D54" si="6">B22*3.3/100</f>
        <v>0</v>
      </c>
      <c r="E22" s="7">
        <f t="shared" si="3"/>
        <v>0</v>
      </c>
      <c r="F22" s="7">
        <f t="shared" si="4"/>
        <v>0</v>
      </c>
      <c r="G22" s="5"/>
      <c r="H22" s="5"/>
      <c r="I22" s="1"/>
    </row>
    <row r="23" spans="1:9" x14ac:dyDescent="0.25">
      <c r="A23" s="2" t="s">
        <v>21</v>
      </c>
      <c r="B23" s="8">
        <v>20</v>
      </c>
      <c r="C23" s="7">
        <f>B23*12.7/1000</f>
        <v>0.254</v>
      </c>
      <c r="D23" s="7">
        <f>B23*11.5/100</f>
        <v>2.2999999999999998</v>
      </c>
      <c r="E23" s="7">
        <f>B23*0.7/100</f>
        <v>0.14000000000000001</v>
      </c>
      <c r="F23" s="7">
        <f>B23*157/100</f>
        <v>31.4</v>
      </c>
      <c r="G23" s="5">
        <v>20</v>
      </c>
      <c r="H23" s="5"/>
      <c r="I23" s="1" t="s">
        <v>208</v>
      </c>
    </row>
    <row r="24" spans="1:9" ht="19.5" customHeight="1" x14ac:dyDescent="0.25">
      <c r="A24" s="2" t="s">
        <v>75</v>
      </c>
      <c r="B24" s="5"/>
      <c r="C24" s="5">
        <f>C9+C13+C18+C19+C21+C23</f>
        <v>32.130000000000003</v>
      </c>
      <c r="D24" s="5">
        <f>D9+D13+D18+D19+D21+D23</f>
        <v>33.975000000000001</v>
      </c>
      <c r="E24" s="5">
        <f>E19+E20+E21+E23</f>
        <v>30.12</v>
      </c>
      <c r="F24" s="5">
        <f>F9+F13+F18+F19+F21+F23</f>
        <v>834.32999999999993</v>
      </c>
      <c r="G24" s="5">
        <v>520</v>
      </c>
      <c r="H24" s="5"/>
      <c r="I24" s="1"/>
    </row>
    <row r="25" spans="1:9" ht="19.5" customHeight="1" x14ac:dyDescent="0.25">
      <c r="A25" s="2" t="s">
        <v>183</v>
      </c>
      <c r="B25" s="5">
        <v>200</v>
      </c>
      <c r="C25" s="5">
        <f>B25*0.5/100</f>
        <v>1</v>
      </c>
      <c r="D25" s="5">
        <f>B25*0/100</f>
        <v>0</v>
      </c>
      <c r="E25" s="5">
        <f>B25*9.1/100</f>
        <v>18.2</v>
      </c>
      <c r="F25" s="5">
        <f>B25*38/100</f>
        <v>76</v>
      </c>
      <c r="G25" s="5">
        <v>200</v>
      </c>
      <c r="H25" s="5"/>
      <c r="I25" s="1" t="s">
        <v>209</v>
      </c>
    </row>
    <row r="26" spans="1:9" x14ac:dyDescent="0.25">
      <c r="A26" s="2" t="s">
        <v>33</v>
      </c>
      <c r="B26" s="7"/>
      <c r="C26" s="7"/>
      <c r="D26" s="7"/>
      <c r="E26" s="7"/>
      <c r="F26" s="7"/>
      <c r="G26" s="7"/>
      <c r="H26" s="7"/>
      <c r="I26" s="1"/>
    </row>
    <row r="27" spans="1:9" x14ac:dyDescent="0.25">
      <c r="A27" s="2" t="s">
        <v>43</v>
      </c>
      <c r="B27" s="7"/>
      <c r="C27" s="7"/>
      <c r="D27" s="7"/>
      <c r="E27" s="7"/>
      <c r="F27" s="7"/>
      <c r="G27" s="7"/>
      <c r="H27" s="7"/>
      <c r="I27" s="1"/>
    </row>
    <row r="28" spans="1:9" x14ac:dyDescent="0.25">
      <c r="A28" s="1" t="s">
        <v>41</v>
      </c>
      <c r="B28" s="8">
        <v>35</v>
      </c>
      <c r="C28" s="7">
        <f>B28*18.6/100</f>
        <v>6.51</v>
      </c>
      <c r="D28" s="7">
        <f>B28*16/100</f>
        <v>5.6</v>
      </c>
      <c r="E28" s="7">
        <f>B28*0/100</f>
        <v>0</v>
      </c>
      <c r="F28" s="7">
        <f>B28*218/100</f>
        <v>76.3</v>
      </c>
      <c r="G28" s="7"/>
      <c r="H28" s="7"/>
      <c r="I28" s="1"/>
    </row>
    <row r="29" spans="1:9" x14ac:dyDescent="0.25">
      <c r="A29" s="1" t="s">
        <v>15</v>
      </c>
      <c r="B29" s="8">
        <v>50</v>
      </c>
      <c r="C29" s="7">
        <f>B29*2/100</f>
        <v>1</v>
      </c>
      <c r="D29" s="7">
        <f>B29*0.4/100</f>
        <v>0.2</v>
      </c>
      <c r="E29" s="7">
        <f>B29*17.3/100</f>
        <v>8.65</v>
      </c>
      <c r="F29" s="7">
        <f>B29*80/100</f>
        <v>40</v>
      </c>
      <c r="G29" s="7"/>
      <c r="H29" s="7"/>
      <c r="I29" s="1"/>
    </row>
    <row r="30" spans="1:9" x14ac:dyDescent="0.25">
      <c r="A30" s="1" t="s">
        <v>26</v>
      </c>
      <c r="B30" s="8">
        <v>40</v>
      </c>
      <c r="C30" s="7">
        <f>B30*1.8/100</f>
        <v>0.72</v>
      </c>
      <c r="D30" s="7">
        <f>B30*0.1/100</f>
        <v>0.04</v>
      </c>
      <c r="E30" s="7">
        <f>B30*4.7/100</f>
        <v>1.88</v>
      </c>
      <c r="F30" s="7">
        <f>B30*27/100</f>
        <v>10.8</v>
      </c>
      <c r="G30" s="7"/>
      <c r="H30" s="7"/>
      <c r="I30" s="1"/>
    </row>
    <row r="31" spans="1:9" x14ac:dyDescent="0.25">
      <c r="A31" s="1" t="s">
        <v>42</v>
      </c>
      <c r="B31" s="8">
        <v>15</v>
      </c>
      <c r="C31" s="7">
        <f>B31*1.5/100</f>
        <v>0.22500000000000001</v>
      </c>
      <c r="D31" s="7">
        <f>B31*0.1/100</f>
        <v>1.4999999999999999E-2</v>
      </c>
      <c r="E31" s="7">
        <f>B31*10/100</f>
        <v>1.5</v>
      </c>
      <c r="F31" s="7">
        <f>B31*42/100</f>
        <v>6.3</v>
      </c>
      <c r="G31" s="7"/>
      <c r="H31" s="7"/>
      <c r="I31" s="1"/>
    </row>
    <row r="32" spans="1:9" x14ac:dyDescent="0.25">
      <c r="A32" s="1" t="s">
        <v>20</v>
      </c>
      <c r="B32" s="8">
        <v>13</v>
      </c>
      <c r="C32" s="7">
        <f>B32*1.4/100</f>
        <v>0.182</v>
      </c>
      <c r="D32" s="7">
        <f>B32*0/100</f>
        <v>0</v>
      </c>
      <c r="E32" s="7">
        <f>B32*9.1/100</f>
        <v>1.1830000000000001</v>
      </c>
      <c r="F32" s="7">
        <f>B32*41/100</f>
        <v>5.33</v>
      </c>
      <c r="G32" s="7"/>
      <c r="H32" s="7"/>
      <c r="I32" s="1"/>
    </row>
    <row r="33" spans="1:9" x14ac:dyDescent="0.25">
      <c r="A33" s="1" t="s">
        <v>16</v>
      </c>
      <c r="B33" s="8">
        <v>13</v>
      </c>
      <c r="C33" s="7">
        <f>B33*1.3/100</f>
        <v>0.16900000000000001</v>
      </c>
      <c r="D33" s="7">
        <f>B33*0.1/100</f>
        <v>1.3000000000000001E-2</v>
      </c>
      <c r="E33" s="7">
        <f>B33*8.4/100</f>
        <v>1.0920000000000001</v>
      </c>
      <c r="F33" s="7">
        <f>B33*34/100</f>
        <v>4.42</v>
      </c>
      <c r="G33" s="7"/>
      <c r="H33" s="7"/>
      <c r="I33" s="1"/>
    </row>
    <row r="34" spans="1:9" x14ac:dyDescent="0.25">
      <c r="A34" s="1" t="s">
        <v>28</v>
      </c>
      <c r="B34" s="8">
        <v>3</v>
      </c>
      <c r="C34" s="7">
        <f>B34*4.8/100</f>
        <v>0.14399999999999999</v>
      </c>
      <c r="D34" s="7">
        <f>B34*0/100</f>
        <v>0</v>
      </c>
      <c r="E34" s="7">
        <f>B34*19/100</f>
        <v>0.56999999999999995</v>
      </c>
      <c r="F34" s="7">
        <f>B34*99/100</f>
        <v>2.97</v>
      </c>
      <c r="G34" s="7"/>
      <c r="H34" s="7"/>
      <c r="I34" s="1"/>
    </row>
    <row r="35" spans="1:9" x14ac:dyDescent="0.25">
      <c r="A35" s="1" t="s">
        <v>8</v>
      </c>
      <c r="B35" s="8">
        <v>2</v>
      </c>
      <c r="C35" s="7">
        <f>B35*0.7/100</f>
        <v>1.3999999999999999E-2</v>
      </c>
      <c r="D35" s="7">
        <f>B35*72.5/100</f>
        <v>1.45</v>
      </c>
      <c r="E35" s="7">
        <f>B35*1/100</f>
        <v>0.02</v>
      </c>
      <c r="F35" s="7">
        <f>B35*709/100</f>
        <v>14.18</v>
      </c>
      <c r="G35" s="5"/>
      <c r="H35" s="5"/>
      <c r="I35" s="1"/>
    </row>
    <row r="36" spans="1:9" x14ac:dyDescent="0.25">
      <c r="A36" s="1" t="s">
        <v>44</v>
      </c>
      <c r="B36" s="8">
        <v>10</v>
      </c>
      <c r="C36" s="7">
        <f>B36*2.8/100</f>
        <v>0.28000000000000003</v>
      </c>
      <c r="D36" s="7">
        <f>B36*20/100</f>
        <v>2</v>
      </c>
      <c r="E36" s="7">
        <f>B36*3.2/100</f>
        <v>0.32</v>
      </c>
      <c r="F36" s="7">
        <f>B36*206/100</f>
        <v>20.6</v>
      </c>
      <c r="G36" s="5"/>
      <c r="H36" s="5"/>
      <c r="I36" s="1"/>
    </row>
    <row r="37" spans="1:9" ht="19.5" customHeight="1" x14ac:dyDescent="0.25">
      <c r="A37" s="2" t="s">
        <v>14</v>
      </c>
      <c r="B37" s="5"/>
      <c r="C37" s="5">
        <f>C28+C29+C30+C31+C32+C33+C34+C35+C36</f>
        <v>9.2439999999999998</v>
      </c>
      <c r="D37" s="5">
        <f>D28+D29+D30+D31+D32+D33+D34+D35+D36</f>
        <v>9.3179999999999996</v>
      </c>
      <c r="E37" s="5">
        <f>E29+E30+E31+E32+E33+E34+E35+E36</f>
        <v>15.215000000000002</v>
      </c>
      <c r="F37" s="5">
        <f>F28+F29+F30+F31+F32+F33+F34+F35+F36</f>
        <v>180.9</v>
      </c>
      <c r="G37" s="5" t="s">
        <v>287</v>
      </c>
      <c r="H37" s="5"/>
      <c r="I37" s="1" t="s">
        <v>210</v>
      </c>
    </row>
    <row r="38" spans="1:9" x14ac:dyDescent="0.25">
      <c r="A38" s="2" t="s">
        <v>46</v>
      </c>
      <c r="B38" s="7"/>
      <c r="C38" s="7"/>
      <c r="D38" s="7"/>
      <c r="E38" s="7"/>
      <c r="F38" s="7"/>
      <c r="G38" s="5"/>
      <c r="H38" s="5"/>
      <c r="I38" s="1"/>
    </row>
    <row r="39" spans="1:9" x14ac:dyDescent="0.25">
      <c r="A39" s="1" t="s">
        <v>45</v>
      </c>
      <c r="B39" s="8">
        <v>120</v>
      </c>
      <c r="C39" s="7">
        <f>B39*16/100</f>
        <v>19.2</v>
      </c>
      <c r="D39" s="7">
        <f>B39*0.6/100</f>
        <v>0.72</v>
      </c>
      <c r="E39" s="7">
        <v>0</v>
      </c>
      <c r="F39" s="7">
        <f>B39*69/100</f>
        <v>82.8</v>
      </c>
      <c r="G39" s="5"/>
      <c r="H39" s="5"/>
      <c r="I39" s="1"/>
    </row>
    <row r="40" spans="1:9" x14ac:dyDescent="0.25">
      <c r="A40" s="1" t="s">
        <v>7</v>
      </c>
      <c r="B40" s="8">
        <v>30</v>
      </c>
      <c r="C40" s="7">
        <f>B40*2.8/100</f>
        <v>0.84</v>
      </c>
      <c r="D40" s="7">
        <f>B40*3.5/100</f>
        <v>1.05</v>
      </c>
      <c r="E40" s="7">
        <f>B40*4.7/100</f>
        <v>1.41</v>
      </c>
      <c r="F40" s="7">
        <f>B40*61/100</f>
        <v>18.3</v>
      </c>
      <c r="G40" s="5"/>
      <c r="H40" s="5"/>
      <c r="I40" s="1"/>
    </row>
    <row r="41" spans="1:9" x14ac:dyDescent="0.25">
      <c r="A41" s="1" t="s">
        <v>8</v>
      </c>
      <c r="B41" s="8">
        <v>2</v>
      </c>
      <c r="C41" s="7">
        <f>B41*0.7/100</f>
        <v>1.3999999999999999E-2</v>
      </c>
      <c r="D41" s="7">
        <f>B41*72.5/100</f>
        <v>1.45</v>
      </c>
      <c r="E41" s="7">
        <f>B41*1/100</f>
        <v>0.02</v>
      </c>
      <c r="F41" s="7">
        <f>B41*709/100</f>
        <v>14.18</v>
      </c>
      <c r="G41" s="5"/>
      <c r="H41" s="5"/>
      <c r="I41" s="1"/>
    </row>
    <row r="42" spans="1:9" x14ac:dyDescent="0.25">
      <c r="A42" s="1" t="s">
        <v>48</v>
      </c>
      <c r="B42" s="8">
        <v>5</v>
      </c>
      <c r="C42" s="7">
        <f>B42*10.3/100</f>
        <v>0.51500000000000001</v>
      </c>
      <c r="D42" s="7">
        <f>B42*1.1/100</f>
        <v>5.5E-2</v>
      </c>
      <c r="E42" s="7">
        <f>B42*69/100</f>
        <v>3.45</v>
      </c>
      <c r="F42" s="7">
        <f>B42*334/100</f>
        <v>16.7</v>
      </c>
      <c r="G42" s="5"/>
      <c r="H42" s="5"/>
      <c r="I42" s="1"/>
    </row>
    <row r="43" spans="1:9" x14ac:dyDescent="0.25">
      <c r="A43" s="1" t="s">
        <v>57</v>
      </c>
      <c r="B43" s="8">
        <v>4</v>
      </c>
      <c r="C43" s="7">
        <f>B43*0/100</f>
        <v>0</v>
      </c>
      <c r="D43" s="7">
        <f>B43*99.9/100</f>
        <v>3.9960000000000004</v>
      </c>
      <c r="E43" s="7">
        <f>B43*0/100</f>
        <v>0</v>
      </c>
      <c r="F43" s="7">
        <f>B43*899/100</f>
        <v>35.96</v>
      </c>
      <c r="G43" s="5"/>
      <c r="H43" s="5"/>
      <c r="I43" s="1"/>
    </row>
    <row r="44" spans="1:9" ht="18.75" customHeight="1" x14ac:dyDescent="0.25">
      <c r="A44" s="2" t="s">
        <v>14</v>
      </c>
      <c r="B44" s="5"/>
      <c r="C44" s="5">
        <f>C39+C40+C41+C43+C43</f>
        <v>20.053999999999998</v>
      </c>
      <c r="D44" s="5">
        <f>D39+D40+D41+D42+D43</f>
        <v>7.2710000000000008</v>
      </c>
      <c r="E44" s="5">
        <f>E39+E40+E41+E42+E43</f>
        <v>4.88</v>
      </c>
      <c r="F44" s="5">
        <f>F39+F40+F41+F42+F43</f>
        <v>167.94</v>
      </c>
      <c r="G44" s="5">
        <v>100</v>
      </c>
      <c r="H44" s="5"/>
      <c r="I44" s="1" t="s">
        <v>211</v>
      </c>
    </row>
    <row r="45" spans="1:9" x14ac:dyDescent="0.25">
      <c r="A45" s="1" t="s">
        <v>50</v>
      </c>
      <c r="B45" s="7"/>
      <c r="C45" s="7"/>
      <c r="D45" s="7"/>
      <c r="E45" s="7"/>
      <c r="F45" s="7"/>
      <c r="G45" s="5"/>
      <c r="H45" s="5"/>
      <c r="I45" s="1"/>
    </row>
    <row r="46" spans="1:9" x14ac:dyDescent="0.25">
      <c r="A46" s="1" t="s">
        <v>15</v>
      </c>
      <c r="B46" s="8">
        <v>110</v>
      </c>
      <c r="C46" s="7">
        <f>B46*2/100</f>
        <v>2.2000000000000002</v>
      </c>
      <c r="D46" s="7">
        <f>B46*0.4/100</f>
        <v>0.44</v>
      </c>
      <c r="E46" s="7">
        <f>B46*117.3/100</f>
        <v>129.03</v>
      </c>
      <c r="F46" s="7">
        <f>B46*80/100</f>
        <v>88</v>
      </c>
      <c r="G46" s="5"/>
      <c r="H46" s="5"/>
      <c r="I46" s="1"/>
    </row>
    <row r="47" spans="1:9" x14ac:dyDescent="0.25">
      <c r="A47" s="1" t="s">
        <v>8</v>
      </c>
      <c r="B47" s="8">
        <v>2</v>
      </c>
      <c r="C47" s="7">
        <f>B47*0.7/100</f>
        <v>1.3999999999999999E-2</v>
      </c>
      <c r="D47" s="7">
        <f>B47*72.5/100</f>
        <v>1.45</v>
      </c>
      <c r="E47" s="7">
        <f>B47*1/100</f>
        <v>0.02</v>
      </c>
      <c r="F47" s="7">
        <f>B47*709/100</f>
        <v>14.18</v>
      </c>
      <c r="G47" s="5"/>
      <c r="H47" s="5"/>
      <c r="I47" s="1"/>
    </row>
    <row r="48" spans="1:9" x14ac:dyDescent="0.25">
      <c r="A48" s="2" t="s">
        <v>14</v>
      </c>
      <c r="B48" s="5"/>
      <c r="C48" s="5">
        <f>C46+C47</f>
        <v>2.214</v>
      </c>
      <c r="D48" s="5">
        <f>D46+D47</f>
        <v>1.89</v>
      </c>
      <c r="E48" s="5">
        <f>E46+E47</f>
        <v>129.05000000000001</v>
      </c>
      <c r="F48" s="5">
        <f>F46+F47</f>
        <v>102.18</v>
      </c>
      <c r="G48" s="5">
        <v>105</v>
      </c>
      <c r="H48" s="5"/>
      <c r="I48" s="1" t="s">
        <v>212</v>
      </c>
    </row>
    <row r="49" spans="1:9" x14ac:dyDescent="0.25">
      <c r="A49" s="2" t="s">
        <v>51</v>
      </c>
      <c r="B49" s="7"/>
      <c r="C49" s="7">
        <f t="shared" ref="C49:C54" si="7">B49*0.7/100</f>
        <v>0</v>
      </c>
      <c r="D49" s="7">
        <f t="shared" si="6"/>
        <v>0</v>
      </c>
      <c r="E49" s="7">
        <f t="shared" si="3"/>
        <v>0</v>
      </c>
      <c r="F49" s="7">
        <f t="shared" si="4"/>
        <v>0</v>
      </c>
      <c r="G49" s="7"/>
      <c r="H49" s="7"/>
      <c r="I49" s="1"/>
    </row>
    <row r="50" spans="1:9" x14ac:dyDescent="0.25">
      <c r="A50" s="1" t="s">
        <v>52</v>
      </c>
      <c r="B50" s="8">
        <v>30</v>
      </c>
      <c r="C50" s="7">
        <f>B50*0.8/100</f>
        <v>0.24</v>
      </c>
      <c r="D50" s="7">
        <f>B50*0.4/100</f>
        <v>0.12</v>
      </c>
      <c r="E50" s="7">
        <f>B50*6.3/100</f>
        <v>1.89</v>
      </c>
      <c r="F50" s="7">
        <f>B50*34/100</f>
        <v>10.199999999999999</v>
      </c>
      <c r="G50" s="7"/>
      <c r="H50" s="7"/>
      <c r="I50" s="1"/>
    </row>
    <row r="51" spans="1:9" x14ac:dyDescent="0.25">
      <c r="A51" s="1" t="s">
        <v>9</v>
      </c>
      <c r="B51" s="8">
        <v>9</v>
      </c>
      <c r="C51" s="7">
        <f>B51*0/100</f>
        <v>0</v>
      </c>
      <c r="D51" s="7">
        <f>B51*0/100</f>
        <v>0</v>
      </c>
      <c r="E51" s="7">
        <f>B51*99.8/100</f>
        <v>8.9819999999999993</v>
      </c>
      <c r="F51" s="7">
        <f>B51*379/100</f>
        <v>34.11</v>
      </c>
      <c r="G51" s="7"/>
      <c r="H51" s="7"/>
      <c r="I51" s="1"/>
    </row>
    <row r="52" spans="1:9" x14ac:dyDescent="0.25">
      <c r="A52" s="1" t="s">
        <v>53</v>
      </c>
      <c r="B52" s="8">
        <v>2</v>
      </c>
      <c r="C52" s="7">
        <f>B52*0.1/100</f>
        <v>2E-3</v>
      </c>
      <c r="D52" s="7">
        <f>B52*0/100</f>
        <v>0</v>
      </c>
      <c r="E52" s="7">
        <f>B52*0/100</f>
        <v>0</v>
      </c>
      <c r="F52" s="7">
        <f>B52*79.6/100</f>
        <v>1.5919999999999999</v>
      </c>
      <c r="G52" s="5"/>
      <c r="H52" s="5"/>
      <c r="I52" s="1"/>
    </row>
    <row r="53" spans="1:9" ht="20.25" customHeight="1" x14ac:dyDescent="0.25">
      <c r="A53" s="2" t="s">
        <v>14</v>
      </c>
      <c r="B53" s="5"/>
      <c r="C53" s="5">
        <f>C50+C52</f>
        <v>0.24199999999999999</v>
      </c>
      <c r="D53" s="5">
        <f>D50</f>
        <v>0.12</v>
      </c>
      <c r="E53" s="5">
        <f>E50+E51</f>
        <v>10.872</v>
      </c>
      <c r="F53" s="5">
        <f>F50+F51+F52</f>
        <v>45.902000000000001</v>
      </c>
      <c r="G53" s="5">
        <v>180</v>
      </c>
      <c r="H53" s="5"/>
      <c r="I53" s="1" t="s">
        <v>213</v>
      </c>
    </row>
    <row r="54" spans="1:9" x14ac:dyDescent="0.25">
      <c r="A54" s="1"/>
      <c r="B54" s="7"/>
      <c r="C54" s="7">
        <f t="shared" si="7"/>
        <v>0</v>
      </c>
      <c r="D54" s="7">
        <f t="shared" si="6"/>
        <v>0</v>
      </c>
      <c r="E54" s="7">
        <f t="shared" si="3"/>
        <v>0</v>
      </c>
      <c r="F54" s="7">
        <f t="shared" si="4"/>
        <v>0</v>
      </c>
      <c r="G54" s="5"/>
      <c r="H54" s="5"/>
      <c r="I54" s="1"/>
    </row>
    <row r="55" spans="1:9" x14ac:dyDescent="0.25">
      <c r="A55" s="1" t="s">
        <v>32</v>
      </c>
      <c r="B55" s="8">
        <v>60</v>
      </c>
      <c r="C55" s="7">
        <f>B55*6.6/100</f>
        <v>3.96</v>
      </c>
      <c r="D55" s="7">
        <f>+D56</f>
        <v>0.9</v>
      </c>
      <c r="E55" s="7">
        <f>B55*34.2/100</f>
        <v>20.52</v>
      </c>
      <c r="F55" s="7">
        <f>B55*181/100</f>
        <v>108.6</v>
      </c>
      <c r="G55" s="5">
        <v>60</v>
      </c>
      <c r="H55" s="5"/>
      <c r="I55" s="1"/>
    </row>
    <row r="56" spans="1:9" x14ac:dyDescent="0.25">
      <c r="A56" s="1" t="s">
        <v>12</v>
      </c>
      <c r="B56" s="8">
        <v>30</v>
      </c>
      <c r="C56" s="7">
        <f>B56*7.7/100</f>
        <v>2.31</v>
      </c>
      <c r="D56" s="7">
        <f>B56*3/100</f>
        <v>0.9</v>
      </c>
      <c r="E56" s="7">
        <f>B56*49.8/100</f>
        <v>14.94</v>
      </c>
      <c r="F56" s="7">
        <f>B56*262/100</f>
        <v>78.599999999999994</v>
      </c>
      <c r="G56" s="5">
        <v>30</v>
      </c>
      <c r="H56" s="5"/>
      <c r="I56" s="1"/>
    </row>
    <row r="57" spans="1:9" ht="18" customHeight="1" x14ac:dyDescent="0.25">
      <c r="A57" s="2" t="s">
        <v>14</v>
      </c>
      <c r="B57" s="5"/>
      <c r="C57" s="5">
        <f>C55+C56</f>
        <v>6.27</v>
      </c>
      <c r="D57" s="5">
        <f>+D62</f>
        <v>7.149</v>
      </c>
      <c r="E57" s="5">
        <f>E55+E56</f>
        <v>35.46</v>
      </c>
      <c r="F57" s="5">
        <f>F55+F56</f>
        <v>187.2</v>
      </c>
      <c r="G57" s="5"/>
      <c r="H57" s="5"/>
      <c r="I57" s="1"/>
    </row>
    <row r="58" spans="1:9" x14ac:dyDescent="0.25">
      <c r="A58" s="2" t="s">
        <v>55</v>
      </c>
      <c r="B58" s="7"/>
      <c r="C58" s="7"/>
      <c r="D58" s="7"/>
      <c r="E58" s="7"/>
      <c r="F58" s="7"/>
      <c r="G58" s="5"/>
      <c r="H58" s="5"/>
      <c r="I58" s="1"/>
    </row>
    <row r="59" spans="1:9" x14ac:dyDescent="0.25">
      <c r="A59" s="3" t="s">
        <v>54</v>
      </c>
      <c r="B59" s="10">
        <v>50</v>
      </c>
      <c r="C59" s="10">
        <f>B59*0.8/100</f>
        <v>0.4</v>
      </c>
      <c r="D59" s="10">
        <f>B59*0.1/100</f>
        <v>0.05</v>
      </c>
      <c r="E59" s="10">
        <f>B59*3.4/100</f>
        <v>1.7</v>
      </c>
      <c r="F59" s="10">
        <f>B59*14/100</f>
        <v>7</v>
      </c>
      <c r="G59" s="5"/>
      <c r="H59" s="5"/>
      <c r="I59" s="1"/>
    </row>
    <row r="60" spans="1:9" x14ac:dyDescent="0.25">
      <c r="A60" s="1" t="s">
        <v>56</v>
      </c>
      <c r="B60" s="7">
        <v>53</v>
      </c>
      <c r="C60" s="7">
        <f>B60*1.1/100</f>
        <v>0.58300000000000007</v>
      </c>
      <c r="D60" s="7">
        <f>B60*0.2/100</f>
        <v>0.10600000000000001</v>
      </c>
      <c r="E60" s="7">
        <f>B60*3.3/100</f>
        <v>1.7489999999999997</v>
      </c>
      <c r="F60" s="7">
        <f>B60*23/100</f>
        <v>12.19</v>
      </c>
      <c r="G60" s="5"/>
      <c r="H60" s="5"/>
      <c r="I60" s="1"/>
    </row>
    <row r="61" spans="1:9" x14ac:dyDescent="0.25">
      <c r="A61" s="3" t="s">
        <v>57</v>
      </c>
      <c r="B61" s="10">
        <v>7</v>
      </c>
      <c r="C61" s="10">
        <f>B61*0/100</f>
        <v>0</v>
      </c>
      <c r="D61" s="10">
        <f>B61*99.9/100</f>
        <v>6.9930000000000003</v>
      </c>
      <c r="E61" s="10">
        <f>B61*0/100</f>
        <v>0</v>
      </c>
      <c r="F61" s="10">
        <f>B61*899/100</f>
        <v>62.93</v>
      </c>
      <c r="G61" s="5">
        <v>110</v>
      </c>
      <c r="H61" s="5"/>
      <c r="I61" s="1"/>
    </row>
    <row r="62" spans="1:9" x14ac:dyDescent="0.25">
      <c r="A62" s="2" t="s">
        <v>14</v>
      </c>
      <c r="B62" s="5"/>
      <c r="C62" s="5">
        <f>C59+C60</f>
        <v>0.9830000000000001</v>
      </c>
      <c r="D62" s="5">
        <f>D59+D60+D61</f>
        <v>7.149</v>
      </c>
      <c r="E62" s="5">
        <f>E59+E60</f>
        <v>3.4489999999999998</v>
      </c>
      <c r="F62" s="5">
        <f>F60+F61</f>
        <v>75.12</v>
      </c>
      <c r="G62" s="5"/>
      <c r="H62" s="5"/>
      <c r="I62" s="1" t="s">
        <v>214</v>
      </c>
    </row>
    <row r="63" spans="1:9" x14ac:dyDescent="0.25">
      <c r="A63" s="2" t="s">
        <v>76</v>
      </c>
      <c r="B63" s="5"/>
      <c r="C63" s="5">
        <f>C37+C44+C48+C53+C57+C62</f>
        <v>39.006999999999998</v>
      </c>
      <c r="D63" s="5">
        <f>D37+D44+D48+D53+D57+D62</f>
        <v>32.896999999999998</v>
      </c>
      <c r="E63" s="5">
        <f>E37+E44+E48+E53+E57+E62</f>
        <v>198.92600000000002</v>
      </c>
      <c r="F63" s="5">
        <f>F37+F44+F48+F53+F57+F62</f>
        <v>759.24200000000008</v>
      </c>
      <c r="G63" s="5">
        <v>843</v>
      </c>
      <c r="H63" s="5"/>
      <c r="I63" s="1"/>
    </row>
    <row r="64" spans="1:9" ht="22.5" customHeight="1" x14ac:dyDescent="0.25">
      <c r="A64" s="15" t="s">
        <v>184</v>
      </c>
      <c r="B64" s="16"/>
      <c r="C64" s="16">
        <f>C24+C25+C63</f>
        <v>72.137</v>
      </c>
      <c r="D64" s="16">
        <f>D24+D63</f>
        <v>66.872</v>
      </c>
      <c r="E64" s="16">
        <f>E24+E25+E63</f>
        <v>247.24600000000001</v>
      </c>
      <c r="F64" s="17">
        <f>F24+F25+F63</f>
        <v>1669.5720000000001</v>
      </c>
      <c r="G64" s="5">
        <f>G24+G25+G63</f>
        <v>1563</v>
      </c>
      <c r="H64" s="5"/>
      <c r="I64" s="1"/>
    </row>
    <row r="65" spans="1:9" x14ac:dyDescent="0.25">
      <c r="A65" s="1" t="s">
        <v>196</v>
      </c>
      <c r="B65" s="7">
        <v>3</v>
      </c>
      <c r="C65" s="10"/>
      <c r="D65" s="10"/>
      <c r="E65" s="10"/>
      <c r="F65" s="7"/>
      <c r="G65" s="7"/>
      <c r="H65" s="7"/>
      <c r="I65" s="1"/>
    </row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6" workbookViewId="0">
      <selection activeCell="G58" sqref="G58"/>
    </sheetView>
  </sheetViews>
  <sheetFormatPr defaultRowHeight="15" x14ac:dyDescent="0.25"/>
  <cols>
    <col min="1" max="1" width="50.140625" customWidth="1"/>
    <col min="2" max="2" width="7.5703125" customWidth="1"/>
    <col min="7" max="8" width="7.5703125" customWidth="1"/>
    <col min="9" max="9" width="13.7109375" customWidth="1"/>
  </cols>
  <sheetData>
    <row r="1" spans="1:9" x14ac:dyDescent="0.25">
      <c r="A1" s="2" t="s">
        <v>36</v>
      </c>
      <c r="B1" s="7"/>
      <c r="C1" s="10"/>
      <c r="D1" s="10"/>
      <c r="E1" s="10"/>
      <c r="F1" s="7"/>
      <c r="G1" s="7"/>
      <c r="H1" s="7" t="s">
        <v>79</v>
      </c>
      <c r="I1" s="2" t="s">
        <v>197</v>
      </c>
    </row>
    <row r="2" spans="1:9" x14ac:dyDescent="0.25">
      <c r="A2" s="2" t="s">
        <v>59</v>
      </c>
      <c r="B2" s="7"/>
      <c r="C2" s="10"/>
      <c r="D2" s="10"/>
      <c r="E2" s="10"/>
      <c r="F2" s="7"/>
      <c r="G2" s="7"/>
      <c r="H2" s="7"/>
      <c r="I2" s="1"/>
    </row>
    <row r="3" spans="1:9" x14ac:dyDescent="0.25">
      <c r="A3" s="1" t="s">
        <v>60</v>
      </c>
      <c r="B3" s="8">
        <v>130</v>
      </c>
      <c r="C3" s="10">
        <f>B3*16.7/100</f>
        <v>21.71</v>
      </c>
      <c r="D3" s="10">
        <f>B3*9/100</f>
        <v>11.7</v>
      </c>
      <c r="E3" s="10">
        <f>B3*1.9/100</f>
        <v>2.4700000000000002</v>
      </c>
      <c r="F3" s="7">
        <f>B3*88/100</f>
        <v>114.4</v>
      </c>
      <c r="G3" s="7"/>
      <c r="H3" s="7"/>
      <c r="I3" s="1"/>
    </row>
    <row r="4" spans="1:9" x14ac:dyDescent="0.25">
      <c r="A4" s="1" t="s">
        <v>61</v>
      </c>
      <c r="B4" s="8">
        <v>10</v>
      </c>
      <c r="C4" s="10">
        <f>B4*10.3/100</f>
        <v>1.03</v>
      </c>
      <c r="D4" s="10">
        <f>B4*1/100</f>
        <v>0.1</v>
      </c>
      <c r="E4" s="10">
        <f>B4*67.9/100</f>
        <v>6.79</v>
      </c>
      <c r="F4" s="7">
        <f>B4*328/100</f>
        <v>32.799999999999997</v>
      </c>
      <c r="G4" s="7"/>
      <c r="H4" s="7"/>
      <c r="I4" s="1"/>
    </row>
    <row r="5" spans="1:9" x14ac:dyDescent="0.25">
      <c r="A5" s="1" t="s">
        <v>21</v>
      </c>
      <c r="B5" s="8">
        <v>10</v>
      </c>
      <c r="C5" s="10">
        <f>B5*12.7/100</f>
        <v>1.27</v>
      </c>
      <c r="D5" s="10">
        <f>B5*11.5/100</f>
        <v>1.1499999999999999</v>
      </c>
      <c r="E5" s="10">
        <f>B5*0.7/100</f>
        <v>7.0000000000000007E-2</v>
      </c>
      <c r="F5" s="7">
        <f>B5*157/100</f>
        <v>15.7</v>
      </c>
      <c r="G5" s="7"/>
      <c r="H5" s="7"/>
      <c r="I5" s="1"/>
    </row>
    <row r="6" spans="1:9" x14ac:dyDescent="0.25">
      <c r="A6" s="1" t="s">
        <v>16</v>
      </c>
      <c r="B6" s="8">
        <v>30</v>
      </c>
      <c r="C6" s="10">
        <f>B6*1.3/100</f>
        <v>0.39</v>
      </c>
      <c r="D6" s="10">
        <f>B6*0.1/100</f>
        <v>0.03</v>
      </c>
      <c r="E6" s="10">
        <f>B6*8.4/100</f>
        <v>2.52</v>
      </c>
      <c r="F6" s="7">
        <f>B6*34/100</f>
        <v>10.199999999999999</v>
      </c>
      <c r="G6" s="7"/>
      <c r="H6" s="7"/>
      <c r="I6" s="1"/>
    </row>
    <row r="7" spans="1:9" x14ac:dyDescent="0.25">
      <c r="A7" s="1" t="s">
        <v>7</v>
      </c>
      <c r="B7" s="8">
        <v>40</v>
      </c>
      <c r="C7" s="10">
        <f>B7*2.8/100</f>
        <v>1.1200000000000001</v>
      </c>
      <c r="D7" s="10">
        <f>B7*3.5/100</f>
        <v>1.4</v>
      </c>
      <c r="E7" s="10">
        <f>B7*4.7/100</f>
        <v>1.88</v>
      </c>
      <c r="F7" s="7">
        <f>B7*61/100</f>
        <v>24.4</v>
      </c>
      <c r="G7" s="7"/>
      <c r="H7" s="7"/>
      <c r="I7" s="1"/>
    </row>
    <row r="8" spans="1:9" x14ac:dyDescent="0.25">
      <c r="A8" s="1" t="s">
        <v>8</v>
      </c>
      <c r="B8" s="8">
        <v>3</v>
      </c>
      <c r="C8" s="10">
        <f>B8*0.7/100</f>
        <v>2.0999999999999998E-2</v>
      </c>
      <c r="D8" s="10">
        <f>B8*72.5/100</f>
        <v>2.1749999999999998</v>
      </c>
      <c r="E8" s="10">
        <f>B8*1/100</f>
        <v>0.03</v>
      </c>
      <c r="F8" s="7">
        <f>B8*709/100</f>
        <v>21.27</v>
      </c>
      <c r="G8" s="7"/>
      <c r="H8" s="7"/>
      <c r="I8" s="1"/>
    </row>
    <row r="9" spans="1:9" x14ac:dyDescent="0.25">
      <c r="A9" s="1" t="s">
        <v>57</v>
      </c>
      <c r="B9" s="8">
        <v>3</v>
      </c>
      <c r="C9" s="10">
        <f t="shared" ref="C9" si="0">B9*0/100</f>
        <v>0</v>
      </c>
      <c r="D9" s="10">
        <f>B9*99.9/100</f>
        <v>2.9970000000000003</v>
      </c>
      <c r="E9" s="10">
        <f t="shared" ref="E9" si="1">B9*0/100</f>
        <v>0</v>
      </c>
      <c r="F9" s="7">
        <f>B9*899/100</f>
        <v>26.97</v>
      </c>
      <c r="G9" s="7"/>
      <c r="H9" s="7"/>
      <c r="I9" s="1"/>
    </row>
    <row r="10" spans="1:9" x14ac:dyDescent="0.25">
      <c r="A10" s="1" t="s">
        <v>62</v>
      </c>
      <c r="B10" s="8">
        <v>40</v>
      </c>
      <c r="C10" s="10">
        <f>B10*7.2/100</f>
        <v>2.88</v>
      </c>
      <c r="D10" s="10">
        <f>B10*8.5/100</f>
        <v>3.4</v>
      </c>
      <c r="E10" s="10">
        <f>B10*56/100</f>
        <v>22.4</v>
      </c>
      <c r="F10" s="7">
        <f>B10*320/100</f>
        <v>128</v>
      </c>
      <c r="G10" s="5"/>
      <c r="H10" s="5"/>
      <c r="I10" s="1"/>
    </row>
    <row r="11" spans="1:9" x14ac:dyDescent="0.25">
      <c r="A11" s="3" t="s">
        <v>9</v>
      </c>
      <c r="B11" s="11">
        <v>8</v>
      </c>
      <c r="C11" s="10">
        <f t="shared" ref="C11:C19" si="2">B11*7.2/100</f>
        <v>0.57600000000000007</v>
      </c>
      <c r="D11" s="10">
        <f t="shared" ref="D11:D19" si="3">B11*8.5/100</f>
        <v>0.68</v>
      </c>
      <c r="E11" s="10">
        <f>B11*99.8/100</f>
        <v>7.984</v>
      </c>
      <c r="F11" s="10">
        <f>B11*379/100</f>
        <v>30.32</v>
      </c>
      <c r="G11" s="5" t="s">
        <v>288</v>
      </c>
      <c r="H11" s="5"/>
      <c r="I11" s="1"/>
    </row>
    <row r="12" spans="1:9" x14ac:dyDescent="0.25">
      <c r="A12" s="2" t="s">
        <v>14</v>
      </c>
      <c r="B12" s="5"/>
      <c r="C12" s="5">
        <f>C3+C4+C5+C6+C7+C8+C9+C10+C11</f>
        <v>28.997000000000003</v>
      </c>
      <c r="D12" s="5">
        <f>D3+D4+D5+D6+D7+D8+D9+D10+D11</f>
        <v>23.631999999999998</v>
      </c>
      <c r="E12" s="5">
        <f>E3+E4+E5+E6+E7+E8+E9+E10+E11</f>
        <v>44.143999999999998</v>
      </c>
      <c r="F12" s="5">
        <f>F3+F4+F5+F6+F7+F8+F9+F10+F11</f>
        <v>404.06</v>
      </c>
      <c r="G12" s="5"/>
      <c r="H12" s="5"/>
      <c r="I12" s="1" t="s">
        <v>215</v>
      </c>
    </row>
    <row r="13" spans="1:9" x14ac:dyDescent="0.25">
      <c r="A13" s="2" t="s">
        <v>63</v>
      </c>
      <c r="B13" s="7"/>
      <c r="C13" s="10"/>
      <c r="D13" s="10"/>
      <c r="E13" s="10"/>
      <c r="F13" s="10"/>
      <c r="G13" s="5"/>
      <c r="H13" s="5"/>
      <c r="I13" s="1"/>
    </row>
    <row r="14" spans="1:9" x14ac:dyDescent="0.25">
      <c r="A14" s="1" t="s">
        <v>7</v>
      </c>
      <c r="B14" s="7">
        <v>120</v>
      </c>
      <c r="C14" s="10">
        <f>B14*2.8/100</f>
        <v>3.36</v>
      </c>
      <c r="D14" s="10">
        <f t="shared" si="3"/>
        <v>10.199999999999999</v>
      </c>
      <c r="E14" s="10">
        <f>B14*4.7/100</f>
        <v>5.64</v>
      </c>
      <c r="F14" s="10">
        <f>B14*61/100</f>
        <v>73.2</v>
      </c>
      <c r="G14" s="5"/>
      <c r="H14" s="5"/>
      <c r="I14" s="1"/>
    </row>
    <row r="15" spans="1:9" x14ac:dyDescent="0.25">
      <c r="A15" s="1" t="s">
        <v>89</v>
      </c>
      <c r="B15" s="8">
        <v>4</v>
      </c>
      <c r="C15" s="10">
        <f>B15*24.2/100</f>
        <v>0.96799999999999997</v>
      </c>
      <c r="D15" s="10">
        <f>B15*17.5/100</f>
        <v>0.7</v>
      </c>
      <c r="E15" s="10">
        <f>B15*27.9/100</f>
        <v>1.1159999999999999</v>
      </c>
      <c r="F15" s="10">
        <f>B15*373/100</f>
        <v>14.92</v>
      </c>
      <c r="G15" s="5"/>
      <c r="H15" s="5"/>
      <c r="I15" s="1"/>
    </row>
    <row r="16" spans="1:9" x14ac:dyDescent="0.25">
      <c r="A16" s="3" t="s">
        <v>9</v>
      </c>
      <c r="B16" s="11">
        <v>7</v>
      </c>
      <c r="C16" s="10">
        <f>B16*0/100</f>
        <v>0</v>
      </c>
      <c r="D16" s="10">
        <f>B16*0/100</f>
        <v>0</v>
      </c>
      <c r="E16" s="10">
        <f t="shared" ref="E16:E45" si="4">B16*99.8/100</f>
        <v>6.9860000000000007</v>
      </c>
      <c r="F16" s="10">
        <f t="shared" ref="F16:F46" si="5">B16*379/100</f>
        <v>26.53</v>
      </c>
      <c r="G16" s="5">
        <v>200</v>
      </c>
      <c r="H16" s="5"/>
      <c r="I16" s="1"/>
    </row>
    <row r="17" spans="1:9" x14ac:dyDescent="0.25">
      <c r="A17" s="2" t="s">
        <v>14</v>
      </c>
      <c r="B17" s="5"/>
      <c r="C17" s="5">
        <f>C14+C15+C16</f>
        <v>4.3279999999999994</v>
      </c>
      <c r="D17" s="5">
        <f>D14+D15+D16</f>
        <v>10.899999999999999</v>
      </c>
      <c r="E17" s="5">
        <f>E14+E15+E16</f>
        <v>13.742000000000001</v>
      </c>
      <c r="F17" s="5">
        <f>F14+F15+F16</f>
        <v>114.65</v>
      </c>
      <c r="G17" s="5"/>
      <c r="H17" s="5"/>
      <c r="I17" s="1" t="s">
        <v>216</v>
      </c>
    </row>
    <row r="18" spans="1:9" x14ac:dyDescent="0.25">
      <c r="A18" s="1" t="s">
        <v>12</v>
      </c>
      <c r="B18" s="7">
        <v>50</v>
      </c>
      <c r="C18" s="10">
        <f t="shared" si="2"/>
        <v>3.6</v>
      </c>
      <c r="D18" s="10">
        <f t="shared" si="3"/>
        <v>4.25</v>
      </c>
      <c r="E18" s="10">
        <f t="shared" si="4"/>
        <v>49.9</v>
      </c>
      <c r="F18" s="10">
        <f t="shared" si="5"/>
        <v>189.5</v>
      </c>
      <c r="G18" s="5">
        <v>50</v>
      </c>
      <c r="H18" s="5"/>
      <c r="I18" s="1"/>
    </row>
    <row r="19" spans="1:9" x14ac:dyDescent="0.25">
      <c r="A19" s="1" t="s">
        <v>8</v>
      </c>
      <c r="B19" s="7">
        <v>10</v>
      </c>
      <c r="C19" s="10">
        <f t="shared" si="2"/>
        <v>0.72</v>
      </c>
      <c r="D19" s="10">
        <f t="shared" si="3"/>
        <v>0.85</v>
      </c>
      <c r="E19" s="10">
        <f t="shared" si="4"/>
        <v>9.98</v>
      </c>
      <c r="F19" s="10">
        <f t="shared" si="5"/>
        <v>37.9</v>
      </c>
      <c r="G19" s="5">
        <v>10</v>
      </c>
      <c r="H19" s="5"/>
      <c r="I19" s="1"/>
    </row>
    <row r="20" spans="1:9" x14ac:dyDescent="0.25">
      <c r="A20" s="2" t="s">
        <v>75</v>
      </c>
      <c r="B20" s="5"/>
      <c r="C20" s="5">
        <f>C12+C17+C18+C19</f>
        <v>37.645000000000003</v>
      </c>
      <c r="D20" s="5">
        <f>D12+D17+D18+D19</f>
        <v>39.631999999999998</v>
      </c>
      <c r="E20" s="5">
        <f>E12+E17+E18+E19</f>
        <v>117.76600000000001</v>
      </c>
      <c r="F20" s="5">
        <f>F12+F17+F18+F19</f>
        <v>746.11</v>
      </c>
      <c r="G20" s="5">
        <v>510</v>
      </c>
      <c r="H20" s="5"/>
      <c r="I20" s="1"/>
    </row>
    <row r="21" spans="1:9" x14ac:dyDescent="0.25">
      <c r="A21" s="2" t="s">
        <v>145</v>
      </c>
      <c r="B21" s="9">
        <v>200</v>
      </c>
      <c r="C21" s="5">
        <f>B21*0.9/100</f>
        <v>1.8</v>
      </c>
      <c r="D21" s="5">
        <f>B21*0.2/100</f>
        <v>0.4</v>
      </c>
      <c r="E21" s="5">
        <f>B21*8.1/100</f>
        <v>16.2</v>
      </c>
      <c r="F21" s="5">
        <f>B21*40/100</f>
        <v>80</v>
      </c>
      <c r="G21" s="5">
        <v>200</v>
      </c>
      <c r="H21" s="5"/>
      <c r="I21" s="1" t="s">
        <v>217</v>
      </c>
    </row>
    <row r="22" spans="1:9" x14ac:dyDescent="0.25">
      <c r="A22" s="2" t="s">
        <v>33</v>
      </c>
      <c r="B22" s="7"/>
      <c r="C22" s="10"/>
      <c r="D22" s="10"/>
      <c r="E22" s="10"/>
      <c r="F22" s="10"/>
      <c r="G22" s="7"/>
      <c r="H22" s="7"/>
      <c r="I22" s="1"/>
    </row>
    <row r="23" spans="1:9" x14ac:dyDescent="0.25">
      <c r="A23" s="2" t="s">
        <v>64</v>
      </c>
      <c r="B23" s="7"/>
      <c r="C23" s="10"/>
      <c r="D23" s="10"/>
      <c r="E23" s="10"/>
      <c r="F23" s="10"/>
      <c r="G23" s="7"/>
      <c r="H23" s="7"/>
      <c r="I23" s="1"/>
    </row>
    <row r="24" spans="1:9" x14ac:dyDescent="0.25">
      <c r="A24" s="1" t="s">
        <v>65</v>
      </c>
      <c r="B24" s="8">
        <v>20</v>
      </c>
      <c r="C24" s="10">
        <f>B24*18.2/100</f>
        <v>3.64</v>
      </c>
      <c r="D24" s="10">
        <f>B24*18.4/100</f>
        <v>3.68</v>
      </c>
      <c r="E24" s="10">
        <f>B24*0.7/100</f>
        <v>0.14000000000000001</v>
      </c>
      <c r="F24" s="10">
        <f>B24*241/100</f>
        <v>48.2</v>
      </c>
      <c r="G24" s="7"/>
      <c r="H24" s="7"/>
      <c r="I24" s="1"/>
    </row>
    <row r="25" spans="1:9" x14ac:dyDescent="0.25">
      <c r="A25" s="1" t="s">
        <v>66</v>
      </c>
      <c r="B25" s="8">
        <v>10</v>
      </c>
      <c r="C25" s="10">
        <f>B25*7/100</f>
        <v>0.7</v>
      </c>
      <c r="D25" s="10">
        <f>B25*1/100</f>
        <v>0.1</v>
      </c>
      <c r="E25" s="10">
        <f>B25*71.4/100</f>
        <v>7.14</v>
      </c>
      <c r="F25" s="10">
        <f>B25*330/100</f>
        <v>33</v>
      </c>
      <c r="G25" s="7"/>
      <c r="H25" s="7"/>
      <c r="I25" s="1"/>
    </row>
    <row r="26" spans="1:9" x14ac:dyDescent="0.25">
      <c r="A26" s="1" t="s">
        <v>15</v>
      </c>
      <c r="B26" s="8">
        <v>50</v>
      </c>
      <c r="C26" s="10">
        <f>B26*2/100</f>
        <v>1</v>
      </c>
      <c r="D26" s="10">
        <f>B26*0.4/100</f>
        <v>0.2</v>
      </c>
      <c r="E26" s="10">
        <f>B26*17.3/100</f>
        <v>8.65</v>
      </c>
      <c r="F26" s="10">
        <f>B26*80/100</f>
        <v>40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10">
        <f>B27*8.4/100</f>
        <v>1.0920000000000001</v>
      </c>
      <c r="F27" s="10">
        <f>B27*34/100</f>
        <v>4.42</v>
      </c>
      <c r="G27" s="7"/>
      <c r="H27" s="7"/>
      <c r="I27" s="1"/>
    </row>
    <row r="28" spans="1:9" x14ac:dyDescent="0.25">
      <c r="A28" s="1" t="s">
        <v>20</v>
      </c>
      <c r="B28" s="8">
        <v>13</v>
      </c>
      <c r="C28" s="10">
        <f>B28*1.4/100</f>
        <v>0.182</v>
      </c>
      <c r="D28" s="10">
        <f>B28*0/100</f>
        <v>0</v>
      </c>
      <c r="E28" s="10">
        <f>B28*9.1/100</f>
        <v>1.1830000000000001</v>
      </c>
      <c r="F28" s="10">
        <f t="shared" si="5"/>
        <v>49.27</v>
      </c>
      <c r="G28" s="7"/>
      <c r="H28" s="7"/>
      <c r="I28" s="1"/>
    </row>
    <row r="29" spans="1:9" x14ac:dyDescent="0.25">
      <c r="A29" s="1" t="s">
        <v>28</v>
      </c>
      <c r="B29" s="8">
        <v>5</v>
      </c>
      <c r="C29" s="10">
        <f>B29*4.8/100</f>
        <v>0.24</v>
      </c>
      <c r="D29" s="10">
        <f>B29*0/100</f>
        <v>0</v>
      </c>
      <c r="E29" s="10">
        <f>B29*19/100</f>
        <v>0.95</v>
      </c>
      <c r="F29" s="10">
        <f>B29*99/100</f>
        <v>4.95</v>
      </c>
      <c r="G29" s="7"/>
      <c r="H29" s="7"/>
      <c r="I29" s="1"/>
    </row>
    <row r="30" spans="1:9" x14ac:dyDescent="0.25">
      <c r="A30" s="1" t="s">
        <v>8</v>
      </c>
      <c r="B30" s="8">
        <v>3</v>
      </c>
      <c r="C30" s="10">
        <f>B30*0.7/100</f>
        <v>2.0999999999999998E-2</v>
      </c>
      <c r="D30" s="10">
        <f>B30*72.5/100</f>
        <v>2.1749999999999998</v>
      </c>
      <c r="E30" s="10">
        <f>B30*1/100</f>
        <v>0.03</v>
      </c>
      <c r="F30" s="10">
        <f>B30*709/100</f>
        <v>21.27</v>
      </c>
      <c r="G30" s="7"/>
      <c r="H30" s="7"/>
      <c r="I30" s="1"/>
    </row>
    <row r="31" spans="1:9" x14ac:dyDescent="0.25">
      <c r="A31" s="2" t="s">
        <v>14</v>
      </c>
      <c r="B31" s="5"/>
      <c r="C31" s="5">
        <f>C24+C25+C26+C27+C28+C29+C30</f>
        <v>5.952</v>
      </c>
      <c r="D31" s="5">
        <f>D24+D25+D26+D27+D28+D29+D30</f>
        <v>6.1680000000000001</v>
      </c>
      <c r="E31" s="5">
        <f>E24+E25+E26+E27+E28+E29+E30</f>
        <v>19.184999999999999</v>
      </c>
      <c r="F31" s="5">
        <f>F24+F25+F26+F27+F28+F29+F30</f>
        <v>201.11</v>
      </c>
      <c r="G31" s="5">
        <v>200</v>
      </c>
      <c r="H31" s="5"/>
      <c r="I31" s="1" t="s">
        <v>218</v>
      </c>
    </row>
    <row r="32" spans="1:9" x14ac:dyDescent="0.25">
      <c r="A32" s="2" t="s">
        <v>67</v>
      </c>
      <c r="B32" s="7"/>
      <c r="C32" s="10"/>
      <c r="D32" s="10"/>
      <c r="E32" s="10"/>
      <c r="F32" s="10"/>
      <c r="G32" s="7"/>
      <c r="H32" s="7"/>
      <c r="I32" s="1"/>
    </row>
    <row r="33" spans="1:9" x14ac:dyDescent="0.25">
      <c r="A33" s="1" t="s">
        <v>68</v>
      </c>
      <c r="B33" s="8">
        <v>60</v>
      </c>
      <c r="C33" s="10">
        <f>B33*17.9/100</f>
        <v>10.74</v>
      </c>
      <c r="D33" s="10">
        <f>B33*3.7/100</f>
        <v>2.2200000000000002</v>
      </c>
      <c r="E33" s="10">
        <f>B33*0/100</f>
        <v>0</v>
      </c>
      <c r="F33" s="10">
        <f>B33*105/100</f>
        <v>63</v>
      </c>
      <c r="G33" s="7"/>
      <c r="H33" s="7"/>
      <c r="I33" s="1"/>
    </row>
    <row r="34" spans="1:9" x14ac:dyDescent="0.25">
      <c r="A34" s="1" t="s">
        <v>70</v>
      </c>
      <c r="B34" s="8">
        <v>5</v>
      </c>
      <c r="C34" s="10">
        <f>B34*10.6/100</f>
        <v>0.53</v>
      </c>
      <c r="D34" s="10">
        <f>B34*1.3/100</f>
        <v>6.5000000000000002E-2</v>
      </c>
      <c r="E34" s="10">
        <f>B34*67.7/100</f>
        <v>3.3849999999999998</v>
      </c>
      <c r="F34" s="10">
        <f>B34*331/100</f>
        <v>16.55</v>
      </c>
      <c r="G34" s="7"/>
      <c r="H34" s="7"/>
      <c r="I34" s="1"/>
    </row>
    <row r="35" spans="1:9" x14ac:dyDescent="0.25">
      <c r="A35" s="1" t="s">
        <v>20</v>
      </c>
      <c r="B35" s="8">
        <v>13</v>
      </c>
      <c r="C35" s="10">
        <f>B35*1.4/100</f>
        <v>0.182</v>
      </c>
      <c r="D35" s="10">
        <f>B35*0/100</f>
        <v>0</v>
      </c>
      <c r="E35" s="10">
        <f>B35*9.1/100</f>
        <v>1.1830000000000001</v>
      </c>
      <c r="F35" s="10">
        <f>B35*41/100</f>
        <v>5.33</v>
      </c>
      <c r="G35" s="7"/>
      <c r="H35" s="7"/>
      <c r="I35" s="1"/>
    </row>
    <row r="36" spans="1:9" x14ac:dyDescent="0.25">
      <c r="A36" s="1" t="s">
        <v>16</v>
      </c>
      <c r="B36" s="8">
        <v>13</v>
      </c>
      <c r="C36" s="10">
        <f>B36*1.3/100</f>
        <v>0.16900000000000001</v>
      </c>
      <c r="D36" s="10">
        <f>B36*0/100</f>
        <v>0</v>
      </c>
      <c r="E36" s="10">
        <f>B36*8.4/100</f>
        <v>1.0920000000000001</v>
      </c>
      <c r="F36" s="10">
        <f>B36*34/100</f>
        <v>4.42</v>
      </c>
      <c r="G36" s="7"/>
      <c r="H36" s="7"/>
      <c r="I36" s="1"/>
    </row>
    <row r="37" spans="1:9" x14ac:dyDescent="0.25">
      <c r="A37" s="1" t="s">
        <v>69</v>
      </c>
      <c r="B37" s="8">
        <v>10</v>
      </c>
      <c r="C37" s="10">
        <f>B37*2.8/100</f>
        <v>0.28000000000000003</v>
      </c>
      <c r="D37" s="10">
        <f>B37*15/100</f>
        <v>1.5</v>
      </c>
      <c r="E37" s="10">
        <f>B37*3.2/100</f>
        <v>0.32</v>
      </c>
      <c r="F37" s="10">
        <f>B37*206/100</f>
        <v>20.6</v>
      </c>
      <c r="G37" s="5"/>
      <c r="H37" s="5"/>
      <c r="I37" s="1"/>
    </row>
    <row r="38" spans="1:9" x14ac:dyDescent="0.25">
      <c r="A38" s="2" t="s">
        <v>14</v>
      </c>
      <c r="B38" s="5"/>
      <c r="C38" s="5">
        <f>C33+C34+C35+C36+C37</f>
        <v>11.901</v>
      </c>
      <c r="D38" s="5">
        <f>D33+D34+D35+D36+D37</f>
        <v>3.7850000000000001</v>
      </c>
      <c r="E38" s="5">
        <f>E33+E34+E35+E36+E37</f>
        <v>5.98</v>
      </c>
      <c r="F38" s="5">
        <f>F33+F34+F35+F36+F37</f>
        <v>109.9</v>
      </c>
      <c r="G38" s="5" t="s">
        <v>289</v>
      </c>
      <c r="H38" s="5"/>
      <c r="I38" s="1" t="s">
        <v>219</v>
      </c>
    </row>
    <row r="39" spans="1:9" x14ac:dyDescent="0.25">
      <c r="A39" s="2" t="s">
        <v>71</v>
      </c>
      <c r="B39" s="7"/>
      <c r="C39" s="10"/>
      <c r="D39" s="10"/>
      <c r="E39" s="10"/>
      <c r="F39" s="10"/>
      <c r="G39" s="5"/>
      <c r="H39" s="5"/>
      <c r="I39" s="1"/>
    </row>
    <row r="40" spans="1:9" x14ac:dyDescent="0.25">
      <c r="A40" s="1" t="s">
        <v>15</v>
      </c>
      <c r="B40" s="8">
        <v>160</v>
      </c>
      <c r="C40" s="10">
        <f>B40*2/100</f>
        <v>3.2</v>
      </c>
      <c r="D40" s="10">
        <f>B40*0.4/100</f>
        <v>0.64</v>
      </c>
      <c r="E40" s="10">
        <f>B40*17.3/100</f>
        <v>27.68</v>
      </c>
      <c r="F40" s="10">
        <f>B40*80/100</f>
        <v>128</v>
      </c>
      <c r="G40" s="5"/>
      <c r="H40" s="5"/>
      <c r="I40" s="1"/>
    </row>
    <row r="41" spans="1:9" x14ac:dyDescent="0.25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10">
        <f>B41*4.7/100</f>
        <v>1.88</v>
      </c>
      <c r="F41" s="10">
        <f>B41*61/100</f>
        <v>24.4</v>
      </c>
      <c r="G41" s="5"/>
      <c r="H41" s="5"/>
      <c r="I41" s="1"/>
    </row>
    <row r="42" spans="1:9" x14ac:dyDescent="0.25">
      <c r="A42" s="1" t="s">
        <v>8</v>
      </c>
      <c r="B42" s="8">
        <v>2</v>
      </c>
      <c r="C42" s="10">
        <f>B42*0.7/100</f>
        <v>1.3999999999999999E-2</v>
      </c>
      <c r="D42" s="10">
        <f>B42*72.5/100</f>
        <v>1.45</v>
      </c>
      <c r="E42" s="10">
        <f>B42*1/100</f>
        <v>0.02</v>
      </c>
      <c r="F42" s="10">
        <f>B42*709/100</f>
        <v>14.18</v>
      </c>
      <c r="G42" s="5"/>
      <c r="H42" s="5"/>
      <c r="I42" s="1"/>
    </row>
    <row r="43" spans="1:9" x14ac:dyDescent="0.25">
      <c r="A43" s="2" t="s">
        <v>14</v>
      </c>
      <c r="B43" s="5"/>
      <c r="C43" s="5">
        <f>C40+C41+C42</f>
        <v>4.3340000000000005</v>
      </c>
      <c r="D43" s="5">
        <f>D40+D41+D42</f>
        <v>3.49</v>
      </c>
      <c r="E43" s="5">
        <f>E40+E41+E42</f>
        <v>29.58</v>
      </c>
      <c r="F43" s="5">
        <f>F40+F41+F42</f>
        <v>166.58</v>
      </c>
      <c r="G43" s="5">
        <v>190</v>
      </c>
      <c r="H43" s="5"/>
      <c r="I43" s="1" t="s">
        <v>220</v>
      </c>
    </row>
    <row r="44" spans="1:9" x14ac:dyDescent="0.25">
      <c r="A44" s="2" t="s">
        <v>221</v>
      </c>
      <c r="B44" s="7"/>
      <c r="C44" s="10"/>
      <c r="D44" s="10"/>
      <c r="E44" s="10"/>
      <c r="F44" s="10"/>
      <c r="G44" s="5"/>
      <c r="H44" s="5"/>
      <c r="I44" s="1"/>
    </row>
    <row r="45" spans="1:9" x14ac:dyDescent="0.25">
      <c r="A45" s="1" t="s">
        <v>222</v>
      </c>
      <c r="B45" s="8">
        <v>12</v>
      </c>
      <c r="C45" s="10">
        <f>B45*3.4/100</f>
        <v>0.40799999999999997</v>
      </c>
      <c r="D45" s="10">
        <f>B45*0/100</f>
        <v>0</v>
      </c>
      <c r="E45" s="10">
        <f t="shared" si="4"/>
        <v>11.975999999999999</v>
      </c>
      <c r="F45" s="10">
        <f>B45*110/100</f>
        <v>13.2</v>
      </c>
      <c r="G45" s="5"/>
      <c r="H45" s="5"/>
      <c r="I45" s="1"/>
    </row>
    <row r="46" spans="1:9" x14ac:dyDescent="0.25">
      <c r="A46" s="1" t="s">
        <v>9</v>
      </c>
      <c r="B46" s="8">
        <v>7</v>
      </c>
      <c r="C46" s="10">
        <f>B46*0/100</f>
        <v>0</v>
      </c>
      <c r="D46" s="10">
        <f>B46*0/100</f>
        <v>0</v>
      </c>
      <c r="E46" s="10">
        <f>B46*99.8/100</f>
        <v>6.9860000000000007</v>
      </c>
      <c r="F46" s="10">
        <f t="shared" si="5"/>
        <v>26.53</v>
      </c>
      <c r="G46" s="5"/>
      <c r="H46" s="5"/>
      <c r="I46" s="1"/>
    </row>
    <row r="47" spans="1:9" x14ac:dyDescent="0.25">
      <c r="A47" s="2" t="s">
        <v>74</v>
      </c>
      <c r="B47" s="5"/>
      <c r="C47" s="5">
        <f>C45+C46</f>
        <v>0.40799999999999997</v>
      </c>
      <c r="D47" s="5">
        <f>D45+D46</f>
        <v>0</v>
      </c>
      <c r="E47" s="5">
        <f>E45+E46</f>
        <v>18.962</v>
      </c>
      <c r="F47" s="5">
        <f>F45+F46</f>
        <v>39.730000000000004</v>
      </c>
      <c r="G47" s="5">
        <v>180</v>
      </c>
      <c r="H47" s="5"/>
      <c r="I47" s="1" t="s">
        <v>223</v>
      </c>
    </row>
    <row r="48" spans="1:9" x14ac:dyDescent="0.25">
      <c r="A48" s="1" t="s">
        <v>12</v>
      </c>
      <c r="B48" s="8">
        <v>40</v>
      </c>
      <c r="C48" s="10">
        <f>B48*7.7/100</f>
        <v>3.08</v>
      </c>
      <c r="D48" s="10">
        <f>B48*3/100</f>
        <v>1.2</v>
      </c>
      <c r="E48" s="10">
        <f>B48*49.8/100</f>
        <v>19.920000000000002</v>
      </c>
      <c r="F48" s="10">
        <f>B48*262/100</f>
        <v>104.8</v>
      </c>
      <c r="G48" s="5">
        <v>40</v>
      </c>
      <c r="H48" s="5"/>
      <c r="I48" s="1"/>
    </row>
    <row r="49" spans="1:9" x14ac:dyDescent="0.25">
      <c r="A49" s="1" t="s">
        <v>32</v>
      </c>
      <c r="B49" s="8">
        <v>60</v>
      </c>
      <c r="C49" s="10">
        <f>B49*6.6/100</f>
        <v>3.96</v>
      </c>
      <c r="D49" s="10">
        <f>B49*1.2/100</f>
        <v>0.72</v>
      </c>
      <c r="E49" s="10">
        <f>B49*34.2/100</f>
        <v>20.52</v>
      </c>
      <c r="F49" s="10">
        <f>B49*181/100</f>
        <v>108.6</v>
      </c>
      <c r="G49" s="5">
        <v>60</v>
      </c>
      <c r="H49" s="5"/>
      <c r="I49" s="1"/>
    </row>
    <row r="50" spans="1:9" ht="20.25" customHeight="1" x14ac:dyDescent="0.25">
      <c r="A50" s="2" t="s">
        <v>14</v>
      </c>
      <c r="B50" s="5"/>
      <c r="C50" s="5">
        <f>C48+C49</f>
        <v>7.04</v>
      </c>
      <c r="D50" s="5">
        <f>D48+D49</f>
        <v>1.92</v>
      </c>
      <c r="E50" s="5">
        <f>E48+E49</f>
        <v>40.44</v>
      </c>
      <c r="F50" s="5">
        <f>F48+F49</f>
        <v>213.39999999999998</v>
      </c>
      <c r="G50" s="7"/>
      <c r="H50" s="7"/>
      <c r="I50" s="1"/>
    </row>
    <row r="51" spans="1:9" x14ac:dyDescent="0.25">
      <c r="A51" s="2" t="s">
        <v>224</v>
      </c>
      <c r="B51" s="8"/>
      <c r="C51" s="10"/>
      <c r="D51" s="10"/>
      <c r="E51" s="10"/>
      <c r="F51" s="10"/>
      <c r="G51" s="7"/>
      <c r="H51" s="7"/>
      <c r="I51" s="1"/>
    </row>
    <row r="52" spans="1:9" x14ac:dyDescent="0.25">
      <c r="A52" s="1" t="s">
        <v>26</v>
      </c>
      <c r="B52" s="8">
        <v>60</v>
      </c>
      <c r="C52" s="10">
        <f>B52*1.8/100</f>
        <v>1.08</v>
      </c>
      <c r="D52" s="10">
        <f>B52*0.1/100</f>
        <v>0.06</v>
      </c>
      <c r="E52" s="10">
        <f>B52*4.7/100</f>
        <v>2.82</v>
      </c>
      <c r="F52" s="10">
        <f>B52*27/100</f>
        <v>16.2</v>
      </c>
      <c r="G52" s="7"/>
      <c r="H52" s="7"/>
      <c r="I52" s="1"/>
    </row>
    <row r="53" spans="1:9" x14ac:dyDescent="0.25">
      <c r="A53" s="1" t="s">
        <v>16</v>
      </c>
      <c r="B53" s="8">
        <v>11</v>
      </c>
      <c r="C53" s="10">
        <f>B53*1.3/100</f>
        <v>0.14300000000000002</v>
      </c>
      <c r="D53" s="10">
        <f>B53*0.1/100</f>
        <v>1.1000000000000001E-2</v>
      </c>
      <c r="E53" s="10">
        <f>B53*8.4/100</f>
        <v>0.92400000000000004</v>
      </c>
      <c r="F53" s="10">
        <f>B53*34/100</f>
        <v>3.74</v>
      </c>
      <c r="G53" s="7"/>
      <c r="H53" s="7"/>
      <c r="I53" s="1"/>
    </row>
    <row r="54" spans="1:9" x14ac:dyDescent="0.25">
      <c r="A54" s="1" t="s">
        <v>57</v>
      </c>
      <c r="B54" s="8">
        <v>10</v>
      </c>
      <c r="C54" s="10">
        <f>B54*0/100</f>
        <v>0</v>
      </c>
      <c r="D54" s="10">
        <f>B54*99.9/100</f>
        <v>9.99</v>
      </c>
      <c r="E54" s="10">
        <f>B54*0/100</f>
        <v>0</v>
      </c>
      <c r="F54" s="10">
        <f>B54*899/100</f>
        <v>89.9</v>
      </c>
      <c r="G54" s="7"/>
      <c r="H54" s="7"/>
      <c r="I54" s="1"/>
    </row>
    <row r="55" spans="1:9" x14ac:dyDescent="0.25">
      <c r="A55" s="2" t="s">
        <v>14</v>
      </c>
      <c r="B55" s="5"/>
      <c r="C55" s="5">
        <f>C52+C53+C54</f>
        <v>1.2230000000000001</v>
      </c>
      <c r="D55" s="5">
        <f>D52+D53+D54</f>
        <v>10.061</v>
      </c>
      <c r="E55" s="5">
        <f>E52+E53++E54</f>
        <v>3.7439999999999998</v>
      </c>
      <c r="F55" s="5">
        <f>F52+F53+F54</f>
        <v>109.84</v>
      </c>
      <c r="G55" s="5">
        <v>80</v>
      </c>
      <c r="H55" s="5"/>
      <c r="I55" s="1" t="s">
        <v>225</v>
      </c>
    </row>
    <row r="56" spans="1:9" ht="24.75" customHeight="1" x14ac:dyDescent="0.25">
      <c r="A56" s="2" t="s">
        <v>76</v>
      </c>
      <c r="B56" s="5"/>
      <c r="C56" s="5">
        <f>C38+C43+C47+C50+C55</f>
        <v>24.905999999999999</v>
      </c>
      <c r="D56" s="5">
        <f>D31+D38+D43+D50+D55</f>
        <v>25.423999999999999</v>
      </c>
      <c r="E56" s="5">
        <f>E31+E38+E43+E47+E50+E55</f>
        <v>117.89099999999999</v>
      </c>
      <c r="F56" s="5">
        <f>F31+F38+F43+F47+F50+F55</f>
        <v>840.56000000000006</v>
      </c>
      <c r="G56" s="5">
        <v>845</v>
      </c>
      <c r="H56" s="5"/>
      <c r="I56" s="1"/>
    </row>
    <row r="57" spans="1:9" ht="21.75" customHeight="1" x14ac:dyDescent="0.25">
      <c r="A57" s="1" t="s">
        <v>196</v>
      </c>
      <c r="B57" s="7">
        <v>3</v>
      </c>
      <c r="C57" s="10"/>
      <c r="D57" s="10"/>
      <c r="E57" s="10"/>
      <c r="F57" s="10"/>
      <c r="G57" s="7"/>
      <c r="H57" s="7"/>
      <c r="I57" s="1"/>
    </row>
    <row r="58" spans="1:9" ht="40.5" customHeight="1" x14ac:dyDescent="0.25">
      <c r="A58" s="15" t="s">
        <v>92</v>
      </c>
      <c r="B58" s="16"/>
      <c r="C58" s="16">
        <v>60.231999999999999</v>
      </c>
      <c r="D58" s="16">
        <v>51.796999999999997</v>
      </c>
      <c r="E58" s="16">
        <v>298.68</v>
      </c>
      <c r="F58" s="16">
        <f>(F20+F21+F56)</f>
        <v>1666.67</v>
      </c>
      <c r="G58" s="5">
        <f>G20+G21+G56</f>
        <v>1555</v>
      </c>
      <c r="H58" s="7"/>
      <c r="I58" s="1"/>
    </row>
    <row r="59" spans="1:9" ht="24" customHeight="1" x14ac:dyDescent="0.25">
      <c r="A59" s="1"/>
      <c r="B59" s="7"/>
      <c r="C59" s="10"/>
      <c r="D59" s="10"/>
      <c r="E59" s="10"/>
      <c r="F59" s="10"/>
      <c r="G59" s="7"/>
      <c r="H59" s="7"/>
      <c r="I59" s="1"/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0" workbookViewId="0">
      <selection activeCell="O54" sqref="O54"/>
    </sheetView>
  </sheetViews>
  <sheetFormatPr defaultRowHeight="15" x14ac:dyDescent="0.2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 x14ac:dyDescent="0.25">
      <c r="A1" s="3" t="s">
        <v>36</v>
      </c>
      <c r="B1" s="10"/>
      <c r="C1" s="10"/>
      <c r="D1" s="10"/>
      <c r="E1" s="10"/>
      <c r="F1" s="10"/>
      <c r="G1" s="10"/>
      <c r="H1" s="10" t="s">
        <v>58</v>
      </c>
      <c r="I1" s="2" t="s">
        <v>197</v>
      </c>
    </row>
    <row r="2" spans="1:9" x14ac:dyDescent="0.25">
      <c r="A2" s="2" t="s">
        <v>80</v>
      </c>
      <c r="B2" s="10"/>
      <c r="C2" s="10"/>
      <c r="D2" s="10"/>
      <c r="E2" s="10"/>
      <c r="F2" s="10"/>
      <c r="G2" s="10"/>
      <c r="H2" s="10"/>
      <c r="I2" s="3"/>
    </row>
    <row r="3" spans="1:9" x14ac:dyDescent="0.25">
      <c r="A3" s="3" t="s">
        <v>81</v>
      </c>
      <c r="B3" s="11">
        <v>30</v>
      </c>
      <c r="C3" s="10">
        <f>B3*11.5/100</f>
        <v>3.45</v>
      </c>
      <c r="D3" s="10">
        <f>B3*3.3/100</f>
        <v>0.99</v>
      </c>
      <c r="E3" s="10">
        <f>B3*66.5/100</f>
        <v>19.95</v>
      </c>
      <c r="F3" s="10">
        <f>B3*348/100</f>
        <v>104.4</v>
      </c>
      <c r="G3" s="10"/>
      <c r="H3" s="10"/>
      <c r="I3" s="3"/>
    </row>
    <row r="4" spans="1:9" x14ac:dyDescent="0.25">
      <c r="A4" s="3" t="s">
        <v>7</v>
      </c>
      <c r="B4" s="10">
        <v>120</v>
      </c>
      <c r="C4" s="10">
        <f>B4*2.8/100</f>
        <v>3.36</v>
      </c>
      <c r="D4" s="10">
        <f>B4*3.5/100</f>
        <v>4.2</v>
      </c>
      <c r="E4" s="10">
        <f t="shared" ref="E4:E6" si="0">B4*66.5/100</f>
        <v>79.8</v>
      </c>
      <c r="F4" s="10">
        <f>B4*61/100</f>
        <v>73.2</v>
      </c>
      <c r="G4" s="10"/>
      <c r="H4" s="10"/>
      <c r="I4" s="3"/>
    </row>
    <row r="5" spans="1:9" x14ac:dyDescent="0.25">
      <c r="A5" s="3" t="s">
        <v>9</v>
      </c>
      <c r="B5" s="11">
        <v>3</v>
      </c>
      <c r="C5" s="10">
        <f>B5*0/100</f>
        <v>0</v>
      </c>
      <c r="D5" s="10">
        <f>B5*0/100</f>
        <v>0</v>
      </c>
      <c r="E5" s="10">
        <f t="shared" si="0"/>
        <v>1.9950000000000001</v>
      </c>
      <c r="F5" s="10">
        <f t="shared" ref="F5:F10" si="1">B5*379/100</f>
        <v>11.37</v>
      </c>
      <c r="G5" s="10"/>
      <c r="H5" s="10"/>
      <c r="I5" s="3"/>
    </row>
    <row r="6" spans="1:9" x14ac:dyDescent="0.25">
      <c r="A6" s="3" t="s">
        <v>8</v>
      </c>
      <c r="B6" s="11">
        <v>4</v>
      </c>
      <c r="C6" s="10">
        <f>B6*0.7/100</f>
        <v>2.7999999999999997E-2</v>
      </c>
      <c r="D6" s="10">
        <f>B6*72.5/100</f>
        <v>2.9</v>
      </c>
      <c r="E6" s="10">
        <f t="shared" si="0"/>
        <v>2.66</v>
      </c>
      <c r="F6" s="10">
        <f>B6*709/100</f>
        <v>28.36</v>
      </c>
      <c r="G6" s="10"/>
      <c r="H6" s="10"/>
      <c r="I6" s="3"/>
    </row>
    <row r="7" spans="1:9" x14ac:dyDescent="0.25">
      <c r="A7" s="2" t="s">
        <v>14</v>
      </c>
      <c r="B7" s="5"/>
      <c r="C7" s="5">
        <f>C3+C4+C5+C6</f>
        <v>6.8380000000000001</v>
      </c>
      <c r="D7" s="5">
        <f>D3+D4+D5+D6</f>
        <v>8.09</v>
      </c>
      <c r="E7" s="5">
        <f>E3+E4+E5+E6</f>
        <v>104.405</v>
      </c>
      <c r="F7" s="5">
        <f>F3+F4+F5+F6</f>
        <v>217.33000000000004</v>
      </c>
      <c r="G7" s="5">
        <v>250</v>
      </c>
      <c r="H7" s="5"/>
      <c r="I7" s="3" t="s">
        <v>226</v>
      </c>
    </row>
    <row r="8" spans="1:9" x14ac:dyDescent="0.25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 x14ac:dyDescent="0.25">
      <c r="A9" s="3" t="s">
        <v>83</v>
      </c>
      <c r="B9" s="11">
        <v>1.2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 x14ac:dyDescent="0.25">
      <c r="A10" s="3" t="s">
        <v>9</v>
      </c>
      <c r="B10" s="11">
        <v>7</v>
      </c>
      <c r="C10" s="10">
        <f>B10*0/100</f>
        <v>0</v>
      </c>
      <c r="D10" s="10">
        <f>B10*0/100</f>
        <v>0</v>
      </c>
      <c r="E10" s="10">
        <f>B10*99.8/100</f>
        <v>6.9860000000000007</v>
      </c>
      <c r="F10" s="10">
        <f t="shared" si="1"/>
        <v>26.53</v>
      </c>
      <c r="G10" s="10"/>
      <c r="H10" s="10"/>
      <c r="I10" s="3"/>
    </row>
    <row r="11" spans="1:9" x14ac:dyDescent="0.25">
      <c r="A11" s="3" t="s">
        <v>84</v>
      </c>
      <c r="B11" s="11">
        <v>8</v>
      </c>
      <c r="C11" s="10">
        <f>B11*0.9/100</f>
        <v>7.2000000000000008E-2</v>
      </c>
      <c r="D11" s="10">
        <f>B11*0/100</f>
        <v>0</v>
      </c>
      <c r="E11" s="10">
        <f>B11*3/100</f>
        <v>0.24</v>
      </c>
      <c r="F11" s="10">
        <f>B11*33/100</f>
        <v>2.64</v>
      </c>
      <c r="G11" s="10"/>
      <c r="H11" s="10"/>
      <c r="I11" s="3"/>
    </row>
    <row r="12" spans="1:9" x14ac:dyDescent="0.25">
      <c r="A12" s="2" t="s">
        <v>14</v>
      </c>
      <c r="B12" s="5"/>
      <c r="C12" s="5">
        <f>C9+C10+C11</f>
        <v>7.2000000000000008E-2</v>
      </c>
      <c r="D12" s="5">
        <f>D9+D10+D11</f>
        <v>0</v>
      </c>
      <c r="E12" s="5">
        <f>E10+E11</f>
        <v>7.2260000000000009</v>
      </c>
      <c r="F12" s="5">
        <f>F10+F11</f>
        <v>29.17</v>
      </c>
      <c r="G12" s="5">
        <v>200</v>
      </c>
      <c r="H12" s="5"/>
      <c r="I12" s="3" t="s">
        <v>227</v>
      </c>
    </row>
    <row r="13" spans="1:9" x14ac:dyDescent="0.25">
      <c r="A13" s="3" t="s">
        <v>12</v>
      </c>
      <c r="B13" s="11">
        <v>60</v>
      </c>
      <c r="C13" s="10">
        <f>B13*7.7/100</f>
        <v>4.62</v>
      </c>
      <c r="D13" s="10">
        <f>B13*3.5/100</f>
        <v>2.1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3"/>
    </row>
    <row r="14" spans="1:9" x14ac:dyDescent="0.25">
      <c r="A14" s="3" t="s">
        <v>8</v>
      </c>
      <c r="B14" s="11">
        <v>10</v>
      </c>
      <c r="C14" s="10">
        <f>B14*7/100</f>
        <v>0.7</v>
      </c>
      <c r="D14" s="10">
        <f>B14*72.5/100</f>
        <v>7.25</v>
      </c>
      <c r="E14" s="10">
        <f>B14*1/100</f>
        <v>0.1</v>
      </c>
      <c r="F14" s="10">
        <f>B14*709/100</f>
        <v>70.900000000000006</v>
      </c>
      <c r="G14" s="5">
        <v>10</v>
      </c>
      <c r="H14" s="5"/>
      <c r="I14" s="3"/>
    </row>
    <row r="15" spans="1:9" x14ac:dyDescent="0.25">
      <c r="A15" s="2" t="s">
        <v>13</v>
      </c>
      <c r="B15" s="9">
        <v>20</v>
      </c>
      <c r="C15" s="5">
        <f>B15*23/100</f>
        <v>4.5999999999999996</v>
      </c>
      <c r="D15" s="5">
        <f>B15*29/100</f>
        <v>5.8</v>
      </c>
      <c r="E15" s="5">
        <f>B15*0/100</f>
        <v>0</v>
      </c>
      <c r="F15" s="5">
        <f>B15*360/100</f>
        <v>72</v>
      </c>
      <c r="G15" s="5">
        <v>20</v>
      </c>
      <c r="H15" s="5"/>
      <c r="I15" s="3" t="s">
        <v>200</v>
      </c>
    </row>
    <row r="16" spans="1:9" ht="21" customHeight="1" x14ac:dyDescent="0.25">
      <c r="A16" s="2" t="s">
        <v>14</v>
      </c>
      <c r="B16" s="5"/>
      <c r="C16" s="5">
        <f>C13+C14+C15</f>
        <v>9.92</v>
      </c>
      <c r="D16" s="5">
        <f>D13+D14+D15</f>
        <v>15.149999999999999</v>
      </c>
      <c r="E16" s="5">
        <f>E13+E14+E15</f>
        <v>29.98</v>
      </c>
      <c r="F16" s="5">
        <f>F13+F14+F15</f>
        <v>300.10000000000002</v>
      </c>
      <c r="G16" s="5">
        <v>540</v>
      </c>
      <c r="H16" s="5"/>
      <c r="I16" s="3"/>
    </row>
    <row r="17" spans="1:9" ht="29.25" customHeight="1" x14ac:dyDescent="0.25">
      <c r="A17" s="2" t="s">
        <v>75</v>
      </c>
      <c r="B17" s="5"/>
      <c r="C17" s="5">
        <f>C7+C12+C16</f>
        <v>16.829999999999998</v>
      </c>
      <c r="D17" s="5">
        <f>D7+D16</f>
        <v>23.24</v>
      </c>
      <c r="E17" s="5">
        <f>E7+E12+E16</f>
        <v>141.61099999999999</v>
      </c>
      <c r="F17" s="5">
        <f>F7+F12+F16</f>
        <v>546.60000000000014</v>
      </c>
      <c r="G17" s="10"/>
      <c r="H17" s="10"/>
      <c r="I17" s="3"/>
    </row>
    <row r="18" spans="1:9" ht="24" customHeight="1" x14ac:dyDescent="0.25">
      <c r="A18" s="2" t="s">
        <v>192</v>
      </c>
      <c r="B18" s="5">
        <v>250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250</v>
      </c>
      <c r="H18" s="5"/>
      <c r="I18" s="3"/>
    </row>
    <row r="19" spans="1:9" ht="25.5" customHeight="1" x14ac:dyDescent="0.25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 x14ac:dyDescent="0.25">
      <c r="A21" s="3" t="s">
        <v>41</v>
      </c>
      <c r="B21" s="11">
        <v>40</v>
      </c>
      <c r="C21" s="10">
        <f>B21*18.6/100</f>
        <v>7.44</v>
      </c>
      <c r="D21" s="10">
        <f>B21*16/100</f>
        <v>6.4</v>
      </c>
      <c r="E21" s="10">
        <f>B21*0/100</f>
        <v>0</v>
      </c>
      <c r="F21" s="10">
        <f>B21*218/100</f>
        <v>87.2</v>
      </c>
      <c r="G21" s="10"/>
      <c r="H21" s="10"/>
      <c r="I21" s="3"/>
    </row>
    <row r="22" spans="1:9" x14ac:dyDescent="0.25">
      <c r="A22" s="3" t="s">
        <v>15</v>
      </c>
      <c r="B22" s="11">
        <v>60</v>
      </c>
      <c r="C22" s="10">
        <f>B22*2/100</f>
        <v>1.2</v>
      </c>
      <c r="D22" s="10">
        <f>B22*0.4/100</f>
        <v>0.24</v>
      </c>
      <c r="E22" s="10">
        <f>B22*17.3/100</f>
        <v>10.38</v>
      </c>
      <c r="F22" s="10">
        <f>B22*80/100</f>
        <v>48</v>
      </c>
      <c r="G22" s="10"/>
      <c r="H22" s="10"/>
      <c r="I22" s="3"/>
    </row>
    <row r="23" spans="1:9" x14ac:dyDescent="0.25">
      <c r="A23" s="3" t="s">
        <v>26</v>
      </c>
      <c r="B23" s="11">
        <v>50</v>
      </c>
      <c r="C23" s="10">
        <f>B23*1.8/100</f>
        <v>0.9</v>
      </c>
      <c r="D23" s="10">
        <f>B23*0.1/100</f>
        <v>0.05</v>
      </c>
      <c r="E23" s="10">
        <f>B23*4.7/100</f>
        <v>2.35</v>
      </c>
      <c r="F23" s="10">
        <f>B23*27/100</f>
        <v>13.5</v>
      </c>
      <c r="G23" s="10"/>
      <c r="H23" s="10"/>
      <c r="I23" s="3"/>
    </row>
    <row r="24" spans="1:9" x14ac:dyDescent="0.25">
      <c r="A24" s="3" t="s">
        <v>20</v>
      </c>
      <c r="B24" s="11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10"/>
      <c r="H24" s="10"/>
      <c r="I24" s="3"/>
    </row>
    <row r="25" spans="1:9" x14ac:dyDescent="0.25">
      <c r="A25" s="3" t="s">
        <v>16</v>
      </c>
      <c r="B25" s="11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10"/>
      <c r="H25" s="10"/>
      <c r="I25" s="3"/>
    </row>
    <row r="26" spans="1:9" x14ac:dyDescent="0.25">
      <c r="A26" s="3" t="s">
        <v>28</v>
      </c>
      <c r="B26" s="11">
        <v>5</v>
      </c>
      <c r="C26" s="10">
        <f>B26*4.8/100</f>
        <v>0.24</v>
      </c>
      <c r="D26" s="10">
        <f>B26*0/100</f>
        <v>0</v>
      </c>
      <c r="E26" s="10">
        <f>B26*19/100</f>
        <v>0.95</v>
      </c>
      <c r="F26" s="10">
        <f>B26*99/100</f>
        <v>4.95</v>
      </c>
      <c r="G26" s="10"/>
      <c r="H26" s="10"/>
      <c r="I26" s="3"/>
    </row>
    <row r="27" spans="1:9" x14ac:dyDescent="0.25">
      <c r="A27" s="3" t="s">
        <v>8</v>
      </c>
      <c r="B27" s="11">
        <v>4</v>
      </c>
      <c r="C27" s="10">
        <f>B27*0.7/100</f>
        <v>2.7999999999999997E-2</v>
      </c>
      <c r="D27" s="10">
        <f>B27*72.5/100</f>
        <v>2.9</v>
      </c>
      <c r="E27" s="10">
        <f>B27*1/100</f>
        <v>0.04</v>
      </c>
      <c r="F27" s="10">
        <f>B27*709/100</f>
        <v>28.36</v>
      </c>
      <c r="G27" s="10"/>
      <c r="H27" s="10"/>
      <c r="I27" s="3"/>
    </row>
    <row r="28" spans="1:9" x14ac:dyDescent="0.25">
      <c r="A28" s="3" t="s">
        <v>44</v>
      </c>
      <c r="B28" s="11">
        <v>10</v>
      </c>
      <c r="C28" s="10">
        <f>B28*2.8/100</f>
        <v>0.28000000000000003</v>
      </c>
      <c r="D28" s="10">
        <f>B28*15/100</f>
        <v>1.5</v>
      </c>
      <c r="E28" s="10">
        <f>B28*3.2/100</f>
        <v>0.32</v>
      </c>
      <c r="F28" s="10">
        <f>B28*206/100</f>
        <v>20.6</v>
      </c>
      <c r="G28" s="10"/>
      <c r="H28" s="10"/>
      <c r="I28" s="3"/>
    </row>
    <row r="29" spans="1:9" ht="21" customHeight="1" x14ac:dyDescent="0.25">
      <c r="A29" s="2" t="s">
        <v>14</v>
      </c>
      <c r="B29" s="5"/>
      <c r="C29" s="5">
        <f>C21+C22+C23+C24+C25+C26+C27+C28</f>
        <v>10.439000000000002</v>
      </c>
      <c r="D29" s="5">
        <f>D21+D22+D23+D24+D25+D26+D27+D28</f>
        <v>11.103</v>
      </c>
      <c r="E29" s="5">
        <f>E21+E22+E23+E24+E25+E26+E27+E28</f>
        <v>16.314999999999998</v>
      </c>
      <c r="F29" s="5">
        <f>F21+F22+F23+F24+F25+F26+F27</f>
        <v>191.76</v>
      </c>
      <c r="G29" s="5" t="s">
        <v>290</v>
      </c>
      <c r="H29" s="5"/>
      <c r="I29" s="3" t="s">
        <v>228</v>
      </c>
    </row>
    <row r="30" spans="1:9" x14ac:dyDescent="0.25">
      <c r="A30" s="2" t="s">
        <v>193</v>
      </c>
      <c r="B30" s="10"/>
      <c r="C30" s="10"/>
      <c r="D30" s="10"/>
      <c r="E30" s="10"/>
      <c r="F30" s="10"/>
      <c r="G30" s="10"/>
      <c r="H30" s="10"/>
      <c r="I30" s="3"/>
    </row>
    <row r="31" spans="1:9" x14ac:dyDescent="0.25">
      <c r="A31" s="3" t="s">
        <v>41</v>
      </c>
      <c r="B31" s="11">
        <v>70</v>
      </c>
      <c r="C31" s="10">
        <f>B31*18.6/100</f>
        <v>13.02</v>
      </c>
      <c r="D31" s="10">
        <f>B31*16/100</f>
        <v>11.2</v>
      </c>
      <c r="E31" s="10">
        <f>B31*0/100</f>
        <v>0</v>
      </c>
      <c r="F31" s="10">
        <f>B31*218/100</f>
        <v>152.6</v>
      </c>
      <c r="G31" s="10"/>
      <c r="H31" s="10"/>
      <c r="I31" s="3"/>
    </row>
    <row r="32" spans="1:9" x14ac:dyDescent="0.25">
      <c r="A32" s="3" t="s">
        <v>66</v>
      </c>
      <c r="B32" s="11">
        <v>50</v>
      </c>
      <c r="C32" s="10">
        <f>B32*7/100</f>
        <v>3.5</v>
      </c>
      <c r="D32" s="10">
        <f>B32*1/100</f>
        <v>0.5</v>
      </c>
      <c r="E32" s="10">
        <f>B32*71.4/100</f>
        <v>35.700000000000003</v>
      </c>
      <c r="F32" s="10">
        <f>B32*330/100</f>
        <v>165</v>
      </c>
      <c r="G32" s="10"/>
      <c r="H32" s="10"/>
      <c r="I32" s="3"/>
    </row>
    <row r="33" spans="1:9" x14ac:dyDescent="0.25">
      <c r="A33" s="3" t="s">
        <v>20</v>
      </c>
      <c r="B33" s="11">
        <v>13</v>
      </c>
      <c r="C33" s="10">
        <f>B33*1.4/100</f>
        <v>0.182</v>
      </c>
      <c r="D33" s="10">
        <f>B33*0/100</f>
        <v>0</v>
      </c>
      <c r="E33" s="10">
        <f>B33*9.1/100</f>
        <v>1.1830000000000001</v>
      </c>
      <c r="F33" s="10">
        <f>B33*41/100</f>
        <v>5.33</v>
      </c>
      <c r="G33" s="10"/>
      <c r="H33" s="10"/>
      <c r="I33" s="3"/>
    </row>
    <row r="34" spans="1:9" x14ac:dyDescent="0.25">
      <c r="A34" s="3" t="s">
        <v>16</v>
      </c>
      <c r="B34" s="11">
        <v>13</v>
      </c>
      <c r="C34" s="10">
        <f>B34*1.3/100</f>
        <v>0.16900000000000001</v>
      </c>
      <c r="D34" s="10">
        <f>B34*0/100</f>
        <v>0</v>
      </c>
      <c r="E34" s="10">
        <f>B34*8.4/100</f>
        <v>1.0920000000000001</v>
      </c>
      <c r="F34" s="10">
        <f>B34*34/100</f>
        <v>4.42</v>
      </c>
      <c r="G34" s="10"/>
      <c r="H34" s="10"/>
      <c r="I34" s="3"/>
    </row>
    <row r="35" spans="1:9" x14ac:dyDescent="0.25">
      <c r="A35" s="3" t="s">
        <v>28</v>
      </c>
      <c r="B35" s="11">
        <v>6</v>
      </c>
      <c r="C35" s="10">
        <f>B35*4.8/100</f>
        <v>0.28799999999999998</v>
      </c>
      <c r="D35" s="10">
        <f>B35*0/100</f>
        <v>0</v>
      </c>
      <c r="E35" s="10">
        <f>B35*19/100</f>
        <v>1.1399999999999999</v>
      </c>
      <c r="F35" s="10">
        <f>B35*99/100</f>
        <v>5.94</v>
      </c>
      <c r="G35" s="10"/>
      <c r="H35" s="10"/>
      <c r="I35" s="3"/>
    </row>
    <row r="36" spans="1:9" x14ac:dyDescent="0.25">
      <c r="A36" s="3" t="s">
        <v>57</v>
      </c>
      <c r="B36" s="11">
        <v>2</v>
      </c>
      <c r="C36" s="10">
        <f>B36*0/100</f>
        <v>0</v>
      </c>
      <c r="D36" s="10">
        <f>B36/99.9/100</f>
        <v>2.0020020020020021E-4</v>
      </c>
      <c r="E36" s="10">
        <f>B36*0/100</f>
        <v>0</v>
      </c>
      <c r="F36" s="10">
        <f>B36*899/100</f>
        <v>17.98</v>
      </c>
      <c r="G36" s="10"/>
      <c r="H36" s="10"/>
      <c r="I36" s="3" t="s">
        <v>229</v>
      </c>
    </row>
    <row r="37" spans="1:9" x14ac:dyDescent="0.25">
      <c r="A37" s="2" t="s">
        <v>14</v>
      </c>
      <c r="B37" s="5"/>
      <c r="C37" s="5">
        <f>C31+C32+C33+C34+C35+C36</f>
        <v>17.158999999999999</v>
      </c>
      <c r="D37" s="21">
        <f>D31+D32+D33+D34+D35+D36</f>
        <v>11.7002002002002</v>
      </c>
      <c r="E37" s="5">
        <f>E31+E32+E33+E34+E35+E36</f>
        <v>39.115000000000002</v>
      </c>
      <c r="F37" s="5">
        <f>F31+F32+F33+F34+F35+F36</f>
        <v>351.27000000000004</v>
      </c>
      <c r="G37" s="5">
        <v>175</v>
      </c>
      <c r="H37" s="5"/>
      <c r="I37" s="3"/>
    </row>
    <row r="38" spans="1:9" x14ac:dyDescent="0.25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 x14ac:dyDescent="0.25">
      <c r="A39" s="3" t="s">
        <v>88</v>
      </c>
      <c r="B39" s="10">
        <v>12</v>
      </c>
      <c r="C39" s="10">
        <f>B39*3.4/100</f>
        <v>0.40799999999999997</v>
      </c>
      <c r="D39" s="10">
        <f>B39*0/100</f>
        <v>0</v>
      </c>
      <c r="E39" s="10">
        <f>B39*21.5/100</f>
        <v>2.58</v>
      </c>
      <c r="F39" s="10">
        <f>B39*110/100</f>
        <v>13.2</v>
      </c>
      <c r="G39" s="5"/>
      <c r="H39" s="5"/>
      <c r="I39" s="3"/>
    </row>
    <row r="40" spans="1:9" x14ac:dyDescent="0.25">
      <c r="A40" s="3" t="s">
        <v>9</v>
      </c>
      <c r="B40" s="10">
        <v>8</v>
      </c>
      <c r="C40" s="10">
        <f>B40*0/100</f>
        <v>0</v>
      </c>
      <c r="D40" s="10">
        <f>B40*0/100</f>
        <v>0</v>
      </c>
      <c r="E40" s="10">
        <f>B40*99.8/100</f>
        <v>7.984</v>
      </c>
      <c r="F40" s="10">
        <f t="shared" ref="F40" si="2">B40*379/100</f>
        <v>30.32</v>
      </c>
      <c r="G40" s="5"/>
      <c r="H40" s="5"/>
      <c r="I40" s="3"/>
    </row>
    <row r="41" spans="1:9" x14ac:dyDescent="0.25">
      <c r="A41" s="2" t="s">
        <v>14</v>
      </c>
      <c r="B41" s="5"/>
      <c r="C41" s="5">
        <f>C39+C40</f>
        <v>0.40799999999999997</v>
      </c>
      <c r="D41" s="5">
        <f t="shared" ref="D41" si="3">B41*8.5/100</f>
        <v>0</v>
      </c>
      <c r="E41" s="5">
        <f>E39+E40</f>
        <v>10.564</v>
      </c>
      <c r="F41" s="5">
        <f>F38+F39+F40</f>
        <v>43.519999999999996</v>
      </c>
      <c r="G41" s="5">
        <v>200</v>
      </c>
      <c r="H41" s="5"/>
      <c r="I41" s="3" t="s">
        <v>230</v>
      </c>
    </row>
    <row r="42" spans="1:9" x14ac:dyDescent="0.25">
      <c r="A42" s="3" t="s">
        <v>32</v>
      </c>
      <c r="B42" s="10">
        <v>60</v>
      </c>
      <c r="C42" s="10">
        <f>B42*7.7/100</f>
        <v>4.62</v>
      </c>
      <c r="D42" s="10">
        <f>B42*3/100</f>
        <v>1.8</v>
      </c>
      <c r="E42" s="10">
        <f>B42*49.8/100</f>
        <v>29.88</v>
      </c>
      <c r="F42" s="10">
        <f>B42*262/100</f>
        <v>157.19999999999999</v>
      </c>
      <c r="G42" s="5">
        <v>60</v>
      </c>
      <c r="H42" s="5"/>
      <c r="I42" s="3"/>
    </row>
    <row r="43" spans="1:9" x14ac:dyDescent="0.25">
      <c r="A43" s="3" t="s">
        <v>12</v>
      </c>
      <c r="B43" s="10">
        <v>40</v>
      </c>
      <c r="C43" s="10">
        <f>B43*6.6/100</f>
        <v>2.64</v>
      </c>
      <c r="D43" s="10">
        <f>B43*1.2/100</f>
        <v>0.48</v>
      </c>
      <c r="E43" s="10">
        <f>B43*34.2/100</f>
        <v>13.68</v>
      </c>
      <c r="F43" s="10">
        <f>B43*181/100</f>
        <v>72.400000000000006</v>
      </c>
      <c r="G43" s="5">
        <v>40</v>
      </c>
      <c r="H43" s="5"/>
      <c r="I43" s="3"/>
    </row>
    <row r="44" spans="1:9" x14ac:dyDescent="0.25">
      <c r="A44" s="2" t="s">
        <v>14</v>
      </c>
      <c r="B44" s="5"/>
      <c r="C44" s="5">
        <f>C42+C43</f>
        <v>7.26</v>
      </c>
      <c r="D44" s="5">
        <f>D42+D43</f>
        <v>2.2800000000000002</v>
      </c>
      <c r="E44" s="5">
        <f>E42+E43</f>
        <v>43.56</v>
      </c>
      <c r="F44" s="5">
        <f>F42+F43</f>
        <v>229.6</v>
      </c>
      <c r="G44" s="5"/>
      <c r="H44" s="5"/>
      <c r="I44" s="3"/>
    </row>
    <row r="45" spans="1:9" x14ac:dyDescent="0.25">
      <c r="A45" s="2" t="s">
        <v>270</v>
      </c>
      <c r="B45" s="10"/>
      <c r="C45" s="10"/>
      <c r="D45" s="10"/>
      <c r="E45" s="10"/>
      <c r="F45" s="10"/>
      <c r="G45" s="5"/>
      <c r="H45" s="5"/>
      <c r="I45" s="3"/>
    </row>
    <row r="46" spans="1:9" x14ac:dyDescent="0.25">
      <c r="A46" s="3" t="s">
        <v>271</v>
      </c>
      <c r="B46" s="10">
        <v>30</v>
      </c>
      <c r="C46" s="10">
        <f>B46*0.8/100</f>
        <v>0.24</v>
      </c>
      <c r="D46" s="10">
        <f>B46*0.1/100</f>
        <v>0.03</v>
      </c>
      <c r="E46" s="10">
        <f>B46*3.4/100</f>
        <v>1.02</v>
      </c>
      <c r="F46" s="10">
        <f>B46*14/100</f>
        <v>4.2</v>
      </c>
      <c r="G46" s="5"/>
      <c r="H46" s="5"/>
      <c r="I46" s="3"/>
    </row>
    <row r="47" spans="1:9" x14ac:dyDescent="0.25">
      <c r="A47" s="3" t="s">
        <v>57</v>
      </c>
      <c r="B47" s="10">
        <v>10</v>
      </c>
      <c r="C47" s="10">
        <f>B47*0/100</f>
        <v>0</v>
      </c>
      <c r="D47" s="10">
        <f>B47*99.9/100</f>
        <v>9.99</v>
      </c>
      <c r="E47" s="10">
        <f>B47*0/100</f>
        <v>0</v>
      </c>
      <c r="F47" s="10">
        <f>B47*899/100</f>
        <v>89.9</v>
      </c>
      <c r="G47" s="5"/>
      <c r="H47" s="5"/>
      <c r="I47" s="3"/>
    </row>
    <row r="48" spans="1:9" ht="22.5" customHeight="1" x14ac:dyDescent="0.25">
      <c r="A48" s="3" t="s">
        <v>272</v>
      </c>
      <c r="B48" s="10">
        <v>30</v>
      </c>
      <c r="C48" s="10">
        <f>B48*1.2/100</f>
        <v>0.36</v>
      </c>
      <c r="D48" s="10">
        <f>B48*0.1/100</f>
        <v>0.03</v>
      </c>
      <c r="E48" s="10">
        <f>B48*4.6/100</f>
        <v>1.38</v>
      </c>
      <c r="F48" s="10">
        <f>B48*21/100</f>
        <v>6.3</v>
      </c>
      <c r="G48" s="5">
        <v>70</v>
      </c>
      <c r="H48" s="5"/>
      <c r="I48" s="3" t="s">
        <v>231</v>
      </c>
    </row>
    <row r="49" spans="1:9" ht="28.5" customHeight="1" x14ac:dyDescent="0.25">
      <c r="A49" s="2" t="s">
        <v>76</v>
      </c>
      <c r="B49" s="5"/>
      <c r="C49" s="5">
        <f>C29+C37+C41+C44+C48</f>
        <v>35.625999999999998</v>
      </c>
      <c r="D49" s="5">
        <f>D29+D37+D44+D48</f>
        <v>25.113200200200204</v>
      </c>
      <c r="E49" s="5">
        <f>E29+E37+E41+E44+E48</f>
        <v>110.934</v>
      </c>
      <c r="F49" s="5">
        <f>F29+F37+F44+F48</f>
        <v>778.93</v>
      </c>
      <c r="G49" s="5">
        <v>805</v>
      </c>
      <c r="H49" s="5"/>
      <c r="I49" s="3"/>
    </row>
    <row r="50" spans="1:9" ht="24" customHeight="1" x14ac:dyDescent="0.25">
      <c r="A50" s="2" t="s">
        <v>196</v>
      </c>
      <c r="B50" s="10">
        <v>3</v>
      </c>
      <c r="C50" s="10"/>
      <c r="D50" s="10"/>
      <c r="E50" s="10"/>
      <c r="F50" s="10"/>
      <c r="G50" s="10"/>
      <c r="H50" s="10"/>
      <c r="I50" s="3"/>
    </row>
    <row r="51" spans="1:9" ht="42.75" customHeight="1" x14ac:dyDescent="0.25">
      <c r="A51" s="2" t="s">
        <v>86</v>
      </c>
      <c r="B51" s="16"/>
      <c r="C51" s="16">
        <f>(C17+C18+C49)</f>
        <v>58.455999999999996</v>
      </c>
      <c r="D51" s="16">
        <f>(D17+D18+D49)</f>
        <v>50.153200200200203</v>
      </c>
      <c r="E51" s="16">
        <f>(E17+E18+E49)</f>
        <v>262.745</v>
      </c>
      <c r="F51" s="16">
        <f>(F17+F18+F49)</f>
        <v>1409.5300000000002</v>
      </c>
      <c r="G51" s="5">
        <f>G16+G18+G49</f>
        <v>1595</v>
      </c>
      <c r="H51" s="10"/>
      <c r="I51" s="3"/>
    </row>
  </sheetData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0" workbookViewId="0">
      <selection activeCell="G53" sqref="G53"/>
    </sheetView>
  </sheetViews>
  <sheetFormatPr defaultRowHeight="15" x14ac:dyDescent="0.2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 x14ac:dyDescent="0.25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197</v>
      </c>
    </row>
    <row r="2" spans="1:9" x14ac:dyDescent="0.25">
      <c r="A2" s="2" t="s">
        <v>96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1" t="s">
        <v>21</v>
      </c>
      <c r="B3" s="8">
        <v>100</v>
      </c>
      <c r="C3" s="10">
        <f>B3*12.7/100</f>
        <v>12.7</v>
      </c>
      <c r="D3" s="10">
        <f>B3*11.5/100</f>
        <v>11.5</v>
      </c>
      <c r="E3" s="10">
        <f>B3*0.7/100</f>
        <v>0.7</v>
      </c>
      <c r="F3" s="10">
        <f>B3*157/100</f>
        <v>157</v>
      </c>
      <c r="G3" s="7"/>
      <c r="H3" s="7"/>
      <c r="I3" s="1"/>
    </row>
    <row r="4" spans="1:9" x14ac:dyDescent="0.25">
      <c r="A4" s="1" t="s">
        <v>7</v>
      </c>
      <c r="B4" s="8">
        <v>80</v>
      </c>
      <c r="C4" s="10">
        <f>B4*2.8/100</f>
        <v>2.2400000000000002</v>
      </c>
      <c r="D4" s="10">
        <f>B4*3.5/100</f>
        <v>2.8</v>
      </c>
      <c r="E4" s="10">
        <f>B4*4.7/100</f>
        <v>3.76</v>
      </c>
      <c r="F4" s="10">
        <f>B4*61/100</f>
        <v>48.8</v>
      </c>
      <c r="G4" s="7"/>
      <c r="H4" s="7"/>
      <c r="I4" s="1"/>
    </row>
    <row r="5" spans="1:9" x14ac:dyDescent="0.25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 x14ac:dyDescent="0.25">
      <c r="A6" s="2" t="s">
        <v>14</v>
      </c>
      <c r="B6" s="5"/>
      <c r="C6" s="5">
        <f>C3+C4+C5</f>
        <v>14.961</v>
      </c>
      <c r="D6" s="5">
        <f>D3+D4+D5</f>
        <v>16.475000000000001</v>
      </c>
      <c r="E6" s="5">
        <f>E3+E4+E5</f>
        <v>4.49</v>
      </c>
      <c r="F6" s="5">
        <f>F3+F4+F5</f>
        <v>227.07000000000002</v>
      </c>
      <c r="G6" s="5">
        <v>175</v>
      </c>
      <c r="H6" s="5"/>
      <c r="I6" s="1" t="s">
        <v>235</v>
      </c>
    </row>
    <row r="7" spans="1:9" x14ac:dyDescent="0.25">
      <c r="A7" s="2" t="s">
        <v>97</v>
      </c>
      <c r="B7" s="9">
        <v>60</v>
      </c>
      <c r="C7" s="5">
        <f>B7*3.2/100</f>
        <v>1.92</v>
      </c>
      <c r="D7" s="5">
        <f>B7*0.2/100</f>
        <v>0.12</v>
      </c>
      <c r="E7" s="5">
        <f>B7*6.5/100</f>
        <v>3.9</v>
      </c>
      <c r="F7" s="5">
        <f>B7*40/100</f>
        <v>24</v>
      </c>
      <c r="G7" s="5">
        <v>60</v>
      </c>
      <c r="H7" s="5"/>
      <c r="I7" s="2" t="s">
        <v>236</v>
      </c>
    </row>
    <row r="8" spans="1:9" x14ac:dyDescent="0.25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39</v>
      </c>
      <c r="B9" s="8">
        <v>1.6</v>
      </c>
      <c r="C9" s="10">
        <f>B9*24.2/100</f>
        <v>0.38719999999999999</v>
      </c>
      <c r="D9" s="10">
        <f>B9*17.5/100</f>
        <v>0.28000000000000003</v>
      </c>
      <c r="E9" s="10">
        <f>B9*27.9/100</f>
        <v>0.44640000000000002</v>
      </c>
      <c r="F9" s="10">
        <f>B9*373/100</f>
        <v>5.9680000000000009</v>
      </c>
      <c r="G9" s="5"/>
      <c r="H9" s="5"/>
      <c r="I9" s="1"/>
    </row>
    <row r="10" spans="1:9" x14ac:dyDescent="0.25">
      <c r="A10" s="1" t="s">
        <v>99</v>
      </c>
      <c r="B10" s="8">
        <v>120</v>
      </c>
      <c r="C10" s="10">
        <f>B10*2.8/100</f>
        <v>3.36</v>
      </c>
      <c r="D10" s="10">
        <f>B10*3.5/100</f>
        <v>4.2</v>
      </c>
      <c r="E10" s="10">
        <f>B10*4.7/100</f>
        <v>5.64</v>
      </c>
      <c r="F10" s="10">
        <f>B10*61/100</f>
        <v>73.2</v>
      </c>
      <c r="G10" s="5"/>
      <c r="H10" s="5"/>
      <c r="I10" s="1"/>
    </row>
    <row r="11" spans="1:9" x14ac:dyDescent="0.25">
      <c r="A11" s="1" t="s">
        <v>9</v>
      </c>
      <c r="B11" s="8">
        <v>7</v>
      </c>
      <c r="C11" s="10">
        <f>B11*0/100</f>
        <v>0</v>
      </c>
      <c r="D11" s="10">
        <f>B11*0/100</f>
        <v>0</v>
      </c>
      <c r="E11" s="10">
        <f>B11*99.8/100</f>
        <v>6.9860000000000007</v>
      </c>
      <c r="F11" s="10">
        <f t="shared" ref="F11" si="0">B11*379/100</f>
        <v>26.53</v>
      </c>
      <c r="G11" s="5"/>
      <c r="H11" s="5"/>
      <c r="I11" s="1"/>
    </row>
    <row r="12" spans="1:9" x14ac:dyDescent="0.25">
      <c r="A12" s="2" t="s">
        <v>74</v>
      </c>
      <c r="B12" s="5"/>
      <c r="C12" s="5">
        <f>C9+C10+C11</f>
        <v>3.7471999999999999</v>
      </c>
      <c r="D12" s="5">
        <f>D9+D10+D11</f>
        <v>4.4800000000000004</v>
      </c>
      <c r="E12" s="5">
        <f>E9+E10+E11</f>
        <v>13.0724</v>
      </c>
      <c r="F12" s="5">
        <f>F9+F10+F11</f>
        <v>105.69800000000001</v>
      </c>
      <c r="G12" s="5">
        <v>200</v>
      </c>
      <c r="H12" s="5"/>
      <c r="I12" s="1" t="s">
        <v>207</v>
      </c>
    </row>
    <row r="13" spans="1:9" x14ac:dyDescent="0.25">
      <c r="A13" s="1" t="s">
        <v>12</v>
      </c>
      <c r="B13" s="7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7">
        <v>10</v>
      </c>
      <c r="C14" s="10">
        <f>B14*0.7/100</f>
        <v>7.0000000000000007E-2</v>
      </c>
      <c r="D14" s="10">
        <f>B14*72.5/100</f>
        <v>7.25</v>
      </c>
      <c r="E14" s="10">
        <f>B14*1/100</f>
        <v>0.1</v>
      </c>
      <c r="F14" s="10">
        <f>B14*709/100</f>
        <v>70.900000000000006</v>
      </c>
      <c r="G14" s="5">
        <v>10</v>
      </c>
      <c r="H14" s="5"/>
      <c r="I14" s="1"/>
    </row>
    <row r="15" spans="1:9" x14ac:dyDescent="0.25">
      <c r="A15" s="2" t="s">
        <v>189</v>
      </c>
      <c r="B15" s="9"/>
      <c r="C15" s="5">
        <f>C6+C7+C12+C13+C14</f>
        <v>25.318200000000001</v>
      </c>
      <c r="D15" s="5">
        <f>D6+D7+D12+D13+D14</f>
        <v>30.125000000000004</v>
      </c>
      <c r="E15" s="5">
        <f>E6+E7+E12+E13+E14</f>
        <v>51.442399999999999</v>
      </c>
      <c r="F15" s="5">
        <f>F6+F7+F12+F13+F14</f>
        <v>584.86800000000005</v>
      </c>
      <c r="G15" s="5">
        <v>505</v>
      </c>
      <c r="H15" s="5"/>
      <c r="I15" s="1"/>
    </row>
    <row r="16" spans="1:9" x14ac:dyDescent="0.25">
      <c r="A16" s="1"/>
      <c r="B16" s="7"/>
      <c r="C16" s="10"/>
      <c r="D16" s="10"/>
      <c r="E16" s="10"/>
      <c r="F16" s="10"/>
      <c r="G16" s="7"/>
      <c r="H16" s="7"/>
      <c r="I16" s="1"/>
    </row>
    <row r="17" spans="1:9" x14ac:dyDescent="0.25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101</v>
      </c>
      <c r="B18" s="5">
        <v>200</v>
      </c>
      <c r="C18" s="5">
        <f>B18*0.4/100</f>
        <v>0.8</v>
      </c>
      <c r="D18" s="5">
        <f>B18*0.4/100</f>
        <v>0.8</v>
      </c>
      <c r="E18" s="5">
        <f>B18*9.8/100</f>
        <v>19.600000000000001</v>
      </c>
      <c r="F18" s="5">
        <f>B18*45/100</f>
        <v>90</v>
      </c>
      <c r="G18" s="5">
        <v>200</v>
      </c>
      <c r="H18" s="5"/>
      <c r="I18" s="1" t="s">
        <v>237</v>
      </c>
    </row>
    <row r="19" spans="1:9" x14ac:dyDescent="0.25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 x14ac:dyDescent="0.25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2" t="s">
        <v>232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233</v>
      </c>
      <c r="B22" s="8">
        <v>60</v>
      </c>
      <c r="C22" s="10">
        <f>B22*20.9/100</f>
        <v>12.54</v>
      </c>
      <c r="D22" s="10">
        <f>B22*5.8/100</f>
        <v>3.48</v>
      </c>
      <c r="E22" s="10">
        <f>B22*0/100</f>
        <v>0</v>
      </c>
      <c r="F22" s="10">
        <f>B22*136/100</f>
        <v>81.599999999999994</v>
      </c>
      <c r="G22" s="7"/>
      <c r="H22" s="7"/>
      <c r="I22" s="1"/>
    </row>
    <row r="23" spans="1:9" x14ac:dyDescent="0.25">
      <c r="A23" s="1" t="s">
        <v>15</v>
      </c>
      <c r="B23" s="8">
        <v>50</v>
      </c>
      <c r="C23" s="10">
        <f>B23*2/100</f>
        <v>1</v>
      </c>
      <c r="D23" s="10">
        <f>B23*0.4/100</f>
        <v>0.2</v>
      </c>
      <c r="E23" s="10">
        <f>B23*17.3/100</f>
        <v>8.65</v>
      </c>
      <c r="F23" s="10">
        <f>B23*80/100</f>
        <v>40</v>
      </c>
      <c r="G23" s="7"/>
      <c r="H23" s="7"/>
      <c r="I23" s="1"/>
    </row>
    <row r="24" spans="1:9" x14ac:dyDescent="0.25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 x14ac:dyDescent="0.25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 x14ac:dyDescent="0.25">
      <c r="A26" s="1" t="s">
        <v>105</v>
      </c>
      <c r="B26" s="8">
        <v>9</v>
      </c>
      <c r="C26" s="10">
        <f>B26*7/100</f>
        <v>0.63</v>
      </c>
      <c r="D26" s="10">
        <f>B26*1/100</f>
        <v>0.09</v>
      </c>
      <c r="E26" s="10">
        <f>B26*71.4/100</f>
        <v>6.4260000000000002</v>
      </c>
      <c r="F26" s="10">
        <f>B26*330/100</f>
        <v>29.7</v>
      </c>
      <c r="G26" s="7"/>
      <c r="H26" s="7"/>
      <c r="I26" s="1"/>
    </row>
    <row r="27" spans="1:9" x14ac:dyDescent="0.25">
      <c r="A27" s="1" t="s">
        <v>8</v>
      </c>
      <c r="B27" s="8">
        <v>5</v>
      </c>
      <c r="C27" s="10">
        <f>B27*0.7/100</f>
        <v>3.5000000000000003E-2</v>
      </c>
      <c r="D27" s="10">
        <f>B27*72.5/100</f>
        <v>3.625</v>
      </c>
      <c r="E27" s="10">
        <f>B27*1/100</f>
        <v>0.05</v>
      </c>
      <c r="F27" s="10">
        <f>B27*709/100</f>
        <v>35.450000000000003</v>
      </c>
      <c r="G27" s="7"/>
      <c r="H27" s="7"/>
      <c r="I27" s="1"/>
    </row>
    <row r="28" spans="1:9" x14ac:dyDescent="0.25">
      <c r="A28" s="2" t="s">
        <v>14</v>
      </c>
      <c r="B28" s="5"/>
      <c r="C28" s="5">
        <f>C22+C23+C24+C25+C26+C27</f>
        <v>14.556000000000001</v>
      </c>
      <c r="D28" s="5">
        <f>D22+D23+D24+D25+D26+D27</f>
        <v>7.4079999999999995</v>
      </c>
      <c r="E28" s="5">
        <f>E22+E23+E24+E25+E26+E27</f>
        <v>17.401</v>
      </c>
      <c r="F28" s="5">
        <f>F22+F23+F24+F25+F26+F27</f>
        <v>196.5</v>
      </c>
      <c r="G28" s="5">
        <v>250</v>
      </c>
      <c r="H28" s="5"/>
      <c r="I28" s="1" t="s">
        <v>238</v>
      </c>
    </row>
    <row r="29" spans="1:9" x14ac:dyDescent="0.25">
      <c r="A29" s="2" t="s">
        <v>107</v>
      </c>
      <c r="B29" s="7"/>
      <c r="C29" s="10"/>
      <c r="D29" s="10"/>
      <c r="E29" s="10"/>
      <c r="F29" s="10"/>
      <c r="G29" s="5"/>
      <c r="H29" s="5"/>
      <c r="I29" s="1"/>
    </row>
    <row r="30" spans="1:9" x14ac:dyDescent="0.25">
      <c r="A30" s="1" t="s">
        <v>108</v>
      </c>
      <c r="B30" s="8">
        <v>90</v>
      </c>
      <c r="C30" s="10">
        <f>B30*18.6/100</f>
        <v>16.740000000000002</v>
      </c>
      <c r="D30" s="10">
        <f>B30*16/100</f>
        <v>14.4</v>
      </c>
      <c r="E30" s="10">
        <f>B30*0/100</f>
        <v>0</v>
      </c>
      <c r="F30" s="10">
        <f>B30*218/100</f>
        <v>196.2</v>
      </c>
      <c r="G30" s="5"/>
      <c r="H30" s="5"/>
      <c r="I30" s="1"/>
    </row>
    <row r="31" spans="1:9" x14ac:dyDescent="0.25">
      <c r="A31" s="1" t="s">
        <v>20</v>
      </c>
      <c r="B31" s="8">
        <v>13</v>
      </c>
      <c r="C31" s="10">
        <f>B31*1.4/100</f>
        <v>0.182</v>
      </c>
      <c r="D31" s="10">
        <f>B31*0/100</f>
        <v>0</v>
      </c>
      <c r="E31" s="10">
        <f>B31*9.1/100</f>
        <v>1.1830000000000001</v>
      </c>
      <c r="F31" s="10">
        <f>B31*41/100</f>
        <v>5.33</v>
      </c>
      <c r="G31" s="5"/>
      <c r="H31" s="5"/>
      <c r="I31" s="1"/>
    </row>
    <row r="32" spans="1:9" x14ac:dyDescent="0.25">
      <c r="A32" s="1" t="s">
        <v>21</v>
      </c>
      <c r="B32" s="8">
        <v>8</v>
      </c>
      <c r="C32" s="10">
        <f>B32*12.7/100</f>
        <v>1.016</v>
      </c>
      <c r="D32" s="10">
        <f>B32*11.5/100</f>
        <v>0.92</v>
      </c>
      <c r="E32" s="10">
        <f>B32*0.7/100</f>
        <v>5.5999999999999994E-2</v>
      </c>
      <c r="F32" s="10">
        <f>B32*157/100</f>
        <v>12.56</v>
      </c>
      <c r="G32" s="5"/>
      <c r="H32" s="5"/>
      <c r="I32" s="1"/>
    </row>
    <row r="33" spans="1:9" x14ac:dyDescent="0.25">
      <c r="A33" s="1" t="s">
        <v>12</v>
      </c>
      <c r="B33" s="8">
        <v>10</v>
      </c>
      <c r="C33" s="10">
        <f>B33*7.7/100</f>
        <v>0.77</v>
      </c>
      <c r="D33" s="10">
        <f>B33*3/100</f>
        <v>0.3</v>
      </c>
      <c r="E33" s="10">
        <f>B33*49.8/100</f>
        <v>4.9800000000000004</v>
      </c>
      <c r="F33" s="10">
        <f>B33*262/100</f>
        <v>26.2</v>
      </c>
      <c r="G33" s="5"/>
      <c r="H33" s="5"/>
      <c r="I33" s="1"/>
    </row>
    <row r="34" spans="1:9" x14ac:dyDescent="0.25">
      <c r="A34" s="1" t="s">
        <v>57</v>
      </c>
      <c r="B34" s="8">
        <v>6</v>
      </c>
      <c r="C34" s="10">
        <f>B34*0/100</f>
        <v>0</v>
      </c>
      <c r="D34" s="10">
        <f t="shared" ref="D34" si="1">B34*8.5/100</f>
        <v>0.51</v>
      </c>
      <c r="E34" s="10">
        <f>B34*0/100</f>
        <v>0</v>
      </c>
      <c r="F34" s="10">
        <f>B34*899/100</f>
        <v>53.94</v>
      </c>
      <c r="G34" s="5"/>
      <c r="H34" s="5"/>
      <c r="I34" s="1"/>
    </row>
    <row r="35" spans="1:9" x14ac:dyDescent="0.25">
      <c r="A35" s="2" t="s">
        <v>14</v>
      </c>
      <c r="B35" s="5"/>
      <c r="C35" s="5">
        <f>C30+C31+C32+C33+C34</f>
        <v>18.708000000000002</v>
      </c>
      <c r="D35" s="5">
        <f>D30+D31+D32+D33+D34</f>
        <v>16.130000000000003</v>
      </c>
      <c r="E35" s="5">
        <f>E31+E32+E33+E34</f>
        <v>6.2190000000000003</v>
      </c>
      <c r="F35" s="5">
        <f>F30+F31+F32+F33+F34</f>
        <v>294.23</v>
      </c>
      <c r="G35" s="5">
        <v>100</v>
      </c>
      <c r="H35" s="5"/>
      <c r="I35" s="1" t="s">
        <v>239</v>
      </c>
    </row>
    <row r="36" spans="1:9" x14ac:dyDescent="0.25">
      <c r="A36" s="2" t="s">
        <v>109</v>
      </c>
      <c r="B36" s="7"/>
      <c r="C36" s="10"/>
      <c r="D36" s="10"/>
      <c r="E36" s="10"/>
      <c r="F36" s="10"/>
      <c r="G36" s="5"/>
      <c r="H36" s="5"/>
      <c r="I36" s="1"/>
    </row>
    <row r="37" spans="1:9" x14ac:dyDescent="0.25">
      <c r="A37" s="1" t="s">
        <v>26</v>
      </c>
      <c r="B37" s="8">
        <v>140</v>
      </c>
      <c r="C37" s="10">
        <f>B37*1.8/100</f>
        <v>2.52</v>
      </c>
      <c r="D37" s="10">
        <f>B37*0.1/100</f>
        <v>0.14000000000000001</v>
      </c>
      <c r="E37" s="10">
        <f>B37*4.7/100</f>
        <v>6.58</v>
      </c>
      <c r="F37" s="10">
        <f>B37*27/100</f>
        <v>37.799999999999997</v>
      </c>
      <c r="G37" s="5"/>
      <c r="H37" s="5"/>
      <c r="I37" s="1"/>
    </row>
    <row r="38" spans="1:9" x14ac:dyDescent="0.25">
      <c r="A38" s="1" t="s">
        <v>20</v>
      </c>
      <c r="B38" s="8">
        <v>13</v>
      </c>
      <c r="C38" s="10">
        <f>B38*1.4/100</f>
        <v>0.182</v>
      </c>
      <c r="D38" s="10">
        <f>B38*0/100</f>
        <v>0</v>
      </c>
      <c r="E38" s="10">
        <f>B38*9.1/100</f>
        <v>1.1830000000000001</v>
      </c>
      <c r="F38" s="10">
        <f>B38*41/100</f>
        <v>5.33</v>
      </c>
      <c r="G38" s="5"/>
      <c r="H38" s="5"/>
      <c r="I38" s="1"/>
    </row>
    <row r="39" spans="1:9" x14ac:dyDescent="0.25">
      <c r="A39" s="1" t="s">
        <v>16</v>
      </c>
      <c r="B39" s="8">
        <v>13</v>
      </c>
      <c r="C39" s="10">
        <f>B39*1.3/100</f>
        <v>0.16900000000000001</v>
      </c>
      <c r="D39" s="10">
        <f>B39*0.1/100</f>
        <v>1.3000000000000001E-2</v>
      </c>
      <c r="E39" s="10">
        <f>B39*8.4/100</f>
        <v>1.0920000000000001</v>
      </c>
      <c r="F39" s="10">
        <f>B39*34/100</f>
        <v>4.42</v>
      </c>
      <c r="G39" s="5"/>
      <c r="H39" s="5"/>
      <c r="I39" s="1"/>
    </row>
    <row r="40" spans="1:9" x14ac:dyDescent="0.25">
      <c r="A40" s="1" t="s">
        <v>28</v>
      </c>
      <c r="B40" s="8">
        <v>5</v>
      </c>
      <c r="C40" s="10">
        <f>B40*4.8/100</f>
        <v>0.24</v>
      </c>
      <c r="D40" s="10">
        <f>B40*0/100</f>
        <v>0</v>
      </c>
      <c r="E40" s="10">
        <f>B40*19/100</f>
        <v>0.95</v>
      </c>
      <c r="F40" s="10">
        <f>B40*99/100</f>
        <v>4.95</v>
      </c>
      <c r="G40" s="5"/>
      <c r="H40" s="5"/>
      <c r="I40" s="1"/>
    </row>
    <row r="41" spans="1:9" x14ac:dyDescent="0.25">
      <c r="A41" s="1" t="s">
        <v>57</v>
      </c>
      <c r="B41" s="8">
        <v>7</v>
      </c>
      <c r="C41" s="10">
        <f>B41*0/100</f>
        <v>0</v>
      </c>
      <c r="D41" s="10">
        <f>B41*99.9/100</f>
        <v>6.9930000000000003</v>
      </c>
      <c r="E41" s="10">
        <f>B41*0/100</f>
        <v>0</v>
      </c>
      <c r="F41" s="10">
        <f>B41*899/100</f>
        <v>62.93</v>
      </c>
      <c r="G41" s="5"/>
      <c r="H41" s="5"/>
      <c r="I41" s="1"/>
    </row>
    <row r="42" spans="1:9" x14ac:dyDescent="0.25">
      <c r="A42" s="2" t="s">
        <v>14</v>
      </c>
      <c r="B42" s="5"/>
      <c r="C42" s="5">
        <f>C37+C38+C39+C40+C41</f>
        <v>3.1109999999999998</v>
      </c>
      <c r="D42" s="5">
        <f>D37+D38+D39+D40+D41</f>
        <v>7.1460000000000008</v>
      </c>
      <c r="E42" s="5">
        <f>E37+E38+E39+E40+E41</f>
        <v>9.8049999999999997</v>
      </c>
      <c r="F42" s="5">
        <f>F37+F38+F39+F40+F41</f>
        <v>115.43</v>
      </c>
      <c r="G42" s="5">
        <v>130</v>
      </c>
      <c r="H42" s="5"/>
      <c r="I42" s="1" t="s">
        <v>240</v>
      </c>
    </row>
    <row r="43" spans="1:9" x14ac:dyDescent="0.25">
      <c r="A43" s="2" t="s">
        <v>304</v>
      </c>
      <c r="B43" s="5">
        <v>40</v>
      </c>
      <c r="C43" s="5">
        <f>B43*0.8/100</f>
        <v>0.32</v>
      </c>
      <c r="D43" s="5">
        <f>B43*0.1/100</f>
        <v>0.04</v>
      </c>
      <c r="E43" s="5">
        <f>B43*3.4/100</f>
        <v>1.36</v>
      </c>
      <c r="F43" s="5">
        <f>B43*14/100</f>
        <v>5.6</v>
      </c>
      <c r="G43" s="5">
        <v>40</v>
      </c>
      <c r="H43" s="5"/>
      <c r="I43" s="1" t="s">
        <v>305</v>
      </c>
    </row>
    <row r="44" spans="1:9" x14ac:dyDescent="0.25">
      <c r="A44" s="1" t="s">
        <v>72</v>
      </c>
      <c r="B44" s="7"/>
      <c r="C44" s="10"/>
      <c r="D44" s="10"/>
      <c r="E44" s="10"/>
      <c r="F44" s="10"/>
      <c r="G44" s="5"/>
      <c r="H44" s="5"/>
      <c r="I44" s="1"/>
    </row>
    <row r="45" spans="1:9" x14ac:dyDescent="0.25">
      <c r="A45" s="2" t="s">
        <v>234</v>
      </c>
      <c r="B45" s="8">
        <v>12</v>
      </c>
      <c r="C45" s="10">
        <f>B45*3.4/100</f>
        <v>0.40799999999999997</v>
      </c>
      <c r="D45" s="10">
        <f>B45*0/100</f>
        <v>0</v>
      </c>
      <c r="E45" s="10">
        <f>B45*21.5/100</f>
        <v>2.58</v>
      </c>
      <c r="F45" s="10">
        <f>B45*110/100</f>
        <v>13.2</v>
      </c>
      <c r="G45" s="5"/>
      <c r="H45" s="5"/>
      <c r="I45" s="1"/>
    </row>
    <row r="46" spans="1:9" x14ac:dyDescent="0.25">
      <c r="A46" s="1" t="s">
        <v>9</v>
      </c>
      <c r="B46" s="8">
        <v>8</v>
      </c>
      <c r="C46" s="10">
        <f>B46*0/100</f>
        <v>0</v>
      </c>
      <c r="D46" s="10">
        <f>B46*0/100</f>
        <v>0</v>
      </c>
      <c r="E46" s="10">
        <f>B46*99.8/100</f>
        <v>7.984</v>
      </c>
      <c r="F46" s="10">
        <f t="shared" ref="F46" si="2">B46*379/100</f>
        <v>30.32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0.40799999999999997</v>
      </c>
      <c r="D47" s="5">
        <f>D45+D46</f>
        <v>0</v>
      </c>
      <c r="E47" s="5">
        <f>E45+E46</f>
        <v>10.564</v>
      </c>
      <c r="F47" s="5">
        <f>F45+F46</f>
        <v>43.519999999999996</v>
      </c>
      <c r="G47" s="5">
        <v>200</v>
      </c>
      <c r="H47" s="5"/>
      <c r="I47" s="1" t="s">
        <v>241</v>
      </c>
    </row>
    <row r="48" spans="1:9" x14ac:dyDescent="0.25">
      <c r="A48" s="1" t="s">
        <v>196</v>
      </c>
      <c r="B48" s="7">
        <v>3</v>
      </c>
      <c r="C48" s="10"/>
      <c r="D48" s="10"/>
      <c r="E48" s="10"/>
      <c r="F48" s="10"/>
      <c r="G48" s="5"/>
      <c r="H48" s="5"/>
      <c r="I48" s="1"/>
    </row>
    <row r="49" spans="1:9" x14ac:dyDescent="0.25">
      <c r="A49" s="1" t="s">
        <v>111</v>
      </c>
      <c r="B49" s="7">
        <v>30</v>
      </c>
      <c r="C49" s="10">
        <f>B49*7.7/100</f>
        <v>2.31</v>
      </c>
      <c r="D49" s="10">
        <f>B49*3/100</f>
        <v>0.9</v>
      </c>
      <c r="E49" s="10">
        <f>B49*49.8/100</f>
        <v>14.94</v>
      </c>
      <c r="F49" s="10">
        <f>B49*262/100</f>
        <v>78.599999999999994</v>
      </c>
      <c r="G49" s="5">
        <v>30</v>
      </c>
      <c r="H49" s="5"/>
      <c r="I49" s="1"/>
    </row>
    <row r="50" spans="1:9" x14ac:dyDescent="0.25">
      <c r="A50" s="1" t="s">
        <v>32</v>
      </c>
      <c r="B50" s="7">
        <v>60</v>
      </c>
      <c r="C50" s="10">
        <f>B50*6.6/100</f>
        <v>3.96</v>
      </c>
      <c r="D50" s="10">
        <f>B50*1.2/100</f>
        <v>0.72</v>
      </c>
      <c r="E50" s="10">
        <f>B50*34.2/100</f>
        <v>20.52</v>
      </c>
      <c r="F50" s="10">
        <f>B50*181/100</f>
        <v>108.6</v>
      </c>
      <c r="G50" s="5">
        <v>60</v>
      </c>
      <c r="H50" s="5"/>
      <c r="I50" s="1"/>
    </row>
    <row r="51" spans="1:9" ht="19.5" customHeight="1" x14ac:dyDescent="0.25">
      <c r="A51" s="2" t="s">
        <v>112</v>
      </c>
      <c r="B51" s="5"/>
      <c r="C51" s="5">
        <f>(C28+C35+C42+C43+C47+C49)</f>
        <v>39.413000000000004</v>
      </c>
      <c r="D51" s="5">
        <f>D28+D35+D42+D43+D49+D50</f>
        <v>32.344000000000001</v>
      </c>
      <c r="E51" s="5">
        <f>E28+E35+E42+E43+E47+E49+E50</f>
        <v>80.808999999999997</v>
      </c>
      <c r="F51" s="5">
        <f>F28+F35+F42+F43+F47+F49+F50</f>
        <v>842.48000000000013</v>
      </c>
      <c r="G51" s="5">
        <v>810</v>
      </c>
      <c r="H51" s="5"/>
      <c r="I51" s="1"/>
    </row>
    <row r="52" spans="1:9" ht="28.5" customHeight="1" x14ac:dyDescent="0.25">
      <c r="A52" s="14" t="s">
        <v>186</v>
      </c>
      <c r="B52" s="16"/>
      <c r="C52" s="16">
        <f>(C15+C18+C51)</f>
        <v>65.531200000000013</v>
      </c>
      <c r="D52" s="16">
        <f>D15+D18+D51</f>
        <v>63.269000000000005</v>
      </c>
      <c r="E52" s="16">
        <f>E15+E18+E51</f>
        <v>151.85140000000001</v>
      </c>
      <c r="F52" s="16">
        <f>F15+F18+F51</f>
        <v>1517.3480000000002</v>
      </c>
      <c r="G52" s="5">
        <f>G15+G18+G51</f>
        <v>1515</v>
      </c>
      <c r="H52" s="7"/>
      <c r="I52" s="1"/>
    </row>
    <row r="53" spans="1:9" x14ac:dyDescent="0.25">
      <c r="A53" s="1"/>
      <c r="B53" s="7"/>
      <c r="C53" s="10"/>
      <c r="D53" s="10"/>
      <c r="E53" s="10"/>
      <c r="F53" s="10"/>
      <c r="G53" s="7"/>
      <c r="H53" s="7"/>
      <c r="I53" s="1"/>
    </row>
  </sheetData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workbookViewId="0">
      <selection activeCell="G51" sqref="G51"/>
    </sheetView>
  </sheetViews>
  <sheetFormatPr defaultRowHeight="15" x14ac:dyDescent="0.2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 x14ac:dyDescent="0.25">
      <c r="A1" s="15" t="s">
        <v>113</v>
      </c>
      <c r="B1" s="7"/>
      <c r="C1" s="10"/>
      <c r="D1" s="10"/>
      <c r="E1" s="10"/>
      <c r="F1" s="10"/>
      <c r="G1" s="7"/>
      <c r="H1" s="7" t="s">
        <v>114</v>
      </c>
      <c r="I1" s="2" t="s">
        <v>197</v>
      </c>
    </row>
    <row r="2" spans="1:9" ht="22.5" customHeight="1" x14ac:dyDescent="0.25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2" t="s">
        <v>115</v>
      </c>
      <c r="B3" s="8"/>
      <c r="C3" s="10"/>
      <c r="D3" s="10"/>
      <c r="E3" s="10"/>
      <c r="F3" s="10"/>
      <c r="G3" s="7"/>
      <c r="H3" s="7"/>
      <c r="I3" s="1"/>
    </row>
    <row r="4" spans="1:9" x14ac:dyDescent="0.25">
      <c r="A4" s="1" t="s">
        <v>61</v>
      </c>
      <c r="B4" s="8">
        <v>30</v>
      </c>
      <c r="C4" s="10">
        <f>B4*10.3/100</f>
        <v>3.09</v>
      </c>
      <c r="D4" s="10">
        <f>B4*1/100</f>
        <v>0.3</v>
      </c>
      <c r="E4" s="10">
        <f>B4*67.9/100</f>
        <v>20.37</v>
      </c>
      <c r="F4" s="10">
        <f>B4*328/100</f>
        <v>98.4</v>
      </c>
      <c r="G4" s="7"/>
      <c r="H4" s="7"/>
      <c r="I4" s="1"/>
    </row>
    <row r="5" spans="1:9" x14ac:dyDescent="0.25">
      <c r="A5" s="1" t="s">
        <v>7</v>
      </c>
      <c r="B5" s="8">
        <v>120</v>
      </c>
      <c r="C5" s="10">
        <f>B5*2.8/100</f>
        <v>3.36</v>
      </c>
      <c r="D5" s="10">
        <f>B5*3.5/100</f>
        <v>4.2</v>
      </c>
      <c r="E5" s="10">
        <f>B5*4.7/100</f>
        <v>5.64</v>
      </c>
      <c r="F5" s="10">
        <f>B5*61/100</f>
        <v>73.2</v>
      </c>
      <c r="G5" s="7"/>
      <c r="H5" s="7"/>
      <c r="I5" s="1"/>
    </row>
    <row r="6" spans="1:9" x14ac:dyDescent="0.25">
      <c r="A6" s="1" t="s">
        <v>8</v>
      </c>
      <c r="B6" s="8">
        <v>4</v>
      </c>
      <c r="C6" s="10">
        <f>B6*0.7/100</f>
        <v>2.7999999999999997E-2</v>
      </c>
      <c r="D6" s="10">
        <f>B6*72.5/100</f>
        <v>2.9</v>
      </c>
      <c r="E6" s="10">
        <f>B6*1/100</f>
        <v>0.04</v>
      </c>
      <c r="F6" s="10">
        <f>B6*709/100</f>
        <v>28.36</v>
      </c>
      <c r="G6" s="5"/>
      <c r="H6" s="5"/>
      <c r="I6" s="1"/>
    </row>
    <row r="7" spans="1:9" x14ac:dyDescent="0.25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10">
        <f>B7*99.8/100</f>
        <v>2.9939999999999998</v>
      </c>
      <c r="F7" s="10">
        <f t="shared" ref="F7:F18" si="0">B7*379/100</f>
        <v>11.37</v>
      </c>
      <c r="G7" s="5"/>
      <c r="H7" s="5"/>
      <c r="I7" s="1"/>
    </row>
    <row r="8" spans="1:9" x14ac:dyDescent="0.25">
      <c r="A8" s="2" t="s">
        <v>14</v>
      </c>
      <c r="B8" s="5"/>
      <c r="C8" s="5">
        <f>C4+C5+C6+C7</f>
        <v>6.4779999999999989</v>
      </c>
      <c r="D8" s="5">
        <f>D4+D5+D6+D7</f>
        <v>7.4</v>
      </c>
      <c r="E8" s="5">
        <f>E4+E5+E6+E7</f>
        <v>29.044</v>
      </c>
      <c r="F8" s="5">
        <f>F4+F5+F6+F7</f>
        <v>211.33000000000004</v>
      </c>
      <c r="G8" s="5">
        <v>250</v>
      </c>
      <c r="H8" s="5"/>
      <c r="I8" s="1" t="s">
        <v>242</v>
      </c>
    </row>
    <row r="9" spans="1:9" x14ac:dyDescent="0.25">
      <c r="A9" s="2" t="s">
        <v>63</v>
      </c>
      <c r="B9" s="7"/>
      <c r="C9" s="10"/>
      <c r="D9" s="10"/>
      <c r="E9" s="10"/>
      <c r="F9" s="10"/>
      <c r="G9" s="5"/>
      <c r="H9" s="5"/>
      <c r="I9" s="1"/>
    </row>
    <row r="10" spans="1:9" x14ac:dyDescent="0.25">
      <c r="A10" s="1" t="s">
        <v>116</v>
      </c>
      <c r="B10" s="8">
        <v>4</v>
      </c>
      <c r="C10" s="10">
        <f>B10*24.2/100</f>
        <v>0.96799999999999997</v>
      </c>
      <c r="D10" s="10">
        <f>B10*17.5/100</f>
        <v>0.7</v>
      </c>
      <c r="E10" s="10">
        <f>B10*27.9/100</f>
        <v>1.1159999999999999</v>
      </c>
      <c r="F10" s="10">
        <f>B10*373/100</f>
        <v>14.92</v>
      </c>
      <c r="G10" s="5"/>
      <c r="H10" s="5"/>
      <c r="I10" s="1"/>
    </row>
    <row r="11" spans="1:9" x14ac:dyDescent="0.25">
      <c r="A11" s="1" t="s">
        <v>99</v>
      </c>
      <c r="B11" s="8">
        <v>100</v>
      </c>
      <c r="C11" s="10">
        <f>B11*2.8/100</f>
        <v>2.8</v>
      </c>
      <c r="D11" s="10">
        <f>B11*3.5/100</f>
        <v>3.5</v>
      </c>
      <c r="E11" s="10">
        <f>B11*4.7/100</f>
        <v>4.7</v>
      </c>
      <c r="F11" s="10">
        <f>B11*61/100</f>
        <v>61</v>
      </c>
      <c r="G11" s="5"/>
      <c r="H11" s="5"/>
      <c r="I11" s="1"/>
    </row>
    <row r="12" spans="1:9" x14ac:dyDescent="0.25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 x14ac:dyDescent="0.25">
      <c r="A13" s="2" t="s">
        <v>14</v>
      </c>
      <c r="B13" s="5"/>
      <c r="C13" s="5">
        <f>C10+C11+C12</f>
        <v>3.7679999999999998</v>
      </c>
      <c r="D13" s="5">
        <f>D10+D11+D12</f>
        <v>4.2</v>
      </c>
      <c r="E13" s="5">
        <f>E10+E11+E12</f>
        <v>12.802</v>
      </c>
      <c r="F13" s="5">
        <f>F10+F11+F12</f>
        <v>102.45</v>
      </c>
      <c r="G13" s="5">
        <v>180</v>
      </c>
      <c r="H13" s="5"/>
      <c r="I13" s="1" t="s">
        <v>216</v>
      </c>
    </row>
    <row r="14" spans="1:9" x14ac:dyDescent="0.25">
      <c r="A14" s="1" t="s">
        <v>12</v>
      </c>
      <c r="B14" s="8">
        <v>60</v>
      </c>
      <c r="C14" s="10">
        <f>B14*7.7/100</f>
        <v>4.62</v>
      </c>
      <c r="D14" s="10">
        <f>B14*3/100</f>
        <v>1.8</v>
      </c>
      <c r="E14" s="10">
        <f>B14*49.8/100</f>
        <v>29.88</v>
      </c>
      <c r="F14" s="10">
        <f>B14*262/100</f>
        <v>157.19999999999999</v>
      </c>
      <c r="G14" s="5">
        <v>60</v>
      </c>
      <c r="H14" s="5"/>
      <c r="I14" s="1"/>
    </row>
    <row r="15" spans="1:9" x14ac:dyDescent="0.25">
      <c r="A15" s="1" t="s">
        <v>8</v>
      </c>
      <c r="B15" s="8">
        <v>10</v>
      </c>
      <c r="C15" s="10">
        <f>B15*0.7/100</f>
        <v>7.0000000000000007E-2</v>
      </c>
      <c r="D15" s="10">
        <f>B15*72.5/100</f>
        <v>7.25</v>
      </c>
      <c r="E15" s="10">
        <f>B15*1/100</f>
        <v>0.1</v>
      </c>
      <c r="F15" s="10">
        <f>B15*709/100</f>
        <v>70.900000000000006</v>
      </c>
      <c r="G15" s="5">
        <v>10</v>
      </c>
      <c r="H15" s="5"/>
      <c r="I15" s="1"/>
    </row>
    <row r="16" spans="1:9" x14ac:dyDescent="0.25">
      <c r="A16" s="2" t="s">
        <v>117</v>
      </c>
      <c r="B16" s="8">
        <v>52</v>
      </c>
      <c r="C16" s="10">
        <f>B16*10.4/100</f>
        <v>5.4080000000000004</v>
      </c>
      <c r="D16" s="10">
        <f>B16*20.1/100</f>
        <v>10.452</v>
      </c>
      <c r="E16" s="10">
        <f>B16*0.8/100</f>
        <v>0.41600000000000004</v>
      </c>
      <c r="F16" s="10">
        <f>B16*226/100</f>
        <v>117.52</v>
      </c>
      <c r="G16" s="5">
        <v>50</v>
      </c>
      <c r="H16" s="5"/>
      <c r="I16" s="1"/>
    </row>
    <row r="17" spans="1:9" x14ac:dyDescent="0.25">
      <c r="A17" s="2" t="s">
        <v>118</v>
      </c>
      <c r="B17" s="5"/>
      <c r="C17" s="5">
        <f>C8+C13+C14+C15+C16</f>
        <v>20.344000000000001</v>
      </c>
      <c r="D17" s="5">
        <f>D8+D13+D14+D15+D16</f>
        <v>31.102000000000004</v>
      </c>
      <c r="E17" s="5">
        <f>E8+E13+E14+E15+E16</f>
        <v>72.24199999999999</v>
      </c>
      <c r="F17" s="5">
        <f>F8+F13+F14+F15+F16</f>
        <v>659.4</v>
      </c>
      <c r="G17" s="5">
        <v>551</v>
      </c>
      <c r="H17" s="5"/>
      <c r="I17" s="1"/>
    </row>
    <row r="18" spans="1:9" x14ac:dyDescent="0.25">
      <c r="A18" s="1"/>
      <c r="B18" s="7"/>
      <c r="C18" s="10">
        <f t="shared" ref="C18" si="1">B18*7.2/100</f>
        <v>0</v>
      </c>
      <c r="D18" s="10">
        <f t="shared" ref="D18" si="2">B18*8.5/100</f>
        <v>0</v>
      </c>
      <c r="E18" s="10">
        <f t="shared" ref="E18" si="3">B18*66.5/100</f>
        <v>0</v>
      </c>
      <c r="F18" s="10">
        <f t="shared" si="0"/>
        <v>0</v>
      </c>
      <c r="G18" s="7"/>
      <c r="H18" s="7"/>
      <c r="I18" s="1"/>
    </row>
    <row r="19" spans="1:9" x14ac:dyDescent="0.25">
      <c r="A19" s="2" t="s">
        <v>119</v>
      </c>
      <c r="B19" s="5">
        <v>200</v>
      </c>
      <c r="C19" s="5">
        <f>B19*1.5/100</f>
        <v>3</v>
      </c>
      <c r="D19" s="5">
        <f>B19*0.1/100</f>
        <v>0.2</v>
      </c>
      <c r="E19" s="5">
        <f>B19*19.2/100</f>
        <v>38.4</v>
      </c>
      <c r="F19" s="5">
        <f>B19*89/100</f>
        <v>178</v>
      </c>
      <c r="G19" s="5">
        <v>200</v>
      </c>
      <c r="H19" s="5"/>
      <c r="I19" s="1" t="s">
        <v>243</v>
      </c>
    </row>
    <row r="20" spans="1:9" ht="21" customHeight="1" x14ac:dyDescent="0.25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 x14ac:dyDescent="0.25">
      <c r="A21" s="2" t="s">
        <v>194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195</v>
      </c>
      <c r="B22" s="7">
        <v>7</v>
      </c>
      <c r="C22" s="10">
        <f>B22*7/100</f>
        <v>0.49</v>
      </c>
      <c r="D22" s="10">
        <f>B22*1/100</f>
        <v>7.0000000000000007E-2</v>
      </c>
      <c r="E22" s="10">
        <f>B22*71.4/100</f>
        <v>4.9980000000000011</v>
      </c>
      <c r="F22" s="10">
        <f>B22*329/100</f>
        <v>23.03</v>
      </c>
      <c r="G22" s="7"/>
      <c r="H22" s="7"/>
      <c r="I22" s="1"/>
    </row>
    <row r="23" spans="1:9" x14ac:dyDescent="0.25">
      <c r="A23" s="1" t="s">
        <v>44</v>
      </c>
      <c r="B23" s="7">
        <v>10</v>
      </c>
      <c r="C23" s="10">
        <f>B23*2.8/100</f>
        <v>0.28000000000000003</v>
      </c>
      <c r="D23" s="10">
        <f>B23*15/100</f>
        <v>1.5</v>
      </c>
      <c r="E23" s="10">
        <f>B23*3.2/100</f>
        <v>0.32</v>
      </c>
      <c r="F23" s="10">
        <f>B23*206/100</f>
        <v>20.6</v>
      </c>
      <c r="G23" s="7"/>
      <c r="H23" s="7"/>
      <c r="I23" s="1"/>
    </row>
    <row r="24" spans="1:9" x14ac:dyDescent="0.25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 x14ac:dyDescent="0.25">
      <c r="A25" s="1" t="s">
        <v>15</v>
      </c>
      <c r="B25" s="8">
        <v>50</v>
      </c>
      <c r="C25" s="10">
        <f>B25*2/100</f>
        <v>1</v>
      </c>
      <c r="D25" s="10">
        <f>B25*0.4/100</f>
        <v>0.2</v>
      </c>
      <c r="E25" s="10">
        <f>B25*17.3/100</f>
        <v>8.65</v>
      </c>
      <c r="F25" s="10">
        <f>B25*80/100</f>
        <v>40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10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10">
        <f>B27*8.4/100</f>
        <v>1.0920000000000001</v>
      </c>
      <c r="F27" s="10">
        <f>B27*34/100</f>
        <v>4.42</v>
      </c>
      <c r="G27" s="7"/>
      <c r="H27" s="7"/>
      <c r="I27" s="1"/>
    </row>
    <row r="28" spans="1:9" x14ac:dyDescent="0.25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10">
        <f>B28*19/100</f>
        <v>0.76</v>
      </c>
      <c r="F28" s="10">
        <f>B28*99/100</f>
        <v>3.96</v>
      </c>
      <c r="G28" s="7"/>
      <c r="H28" s="7"/>
      <c r="I28" s="1"/>
    </row>
    <row r="29" spans="1:9" x14ac:dyDescent="0.25">
      <c r="A29" s="1" t="s">
        <v>120</v>
      </c>
      <c r="B29" s="8">
        <v>20</v>
      </c>
      <c r="C29" s="10">
        <f>B29*0.8/100</f>
        <v>0.16</v>
      </c>
      <c r="D29" s="10">
        <f t="shared" ref="D29:D32" si="4">B29*0.1/100</f>
        <v>0.02</v>
      </c>
      <c r="E29" s="10">
        <f>B29*3.4/100</f>
        <v>0.68</v>
      </c>
      <c r="F29" s="10">
        <f>B29*14/100</f>
        <v>2.8</v>
      </c>
      <c r="G29" s="7"/>
      <c r="H29" s="7"/>
      <c r="I29" s="1"/>
    </row>
    <row r="30" spans="1:9" x14ac:dyDescent="0.25">
      <c r="A30" s="1" t="s">
        <v>8</v>
      </c>
      <c r="B30" s="7">
        <v>4</v>
      </c>
      <c r="C30" s="10">
        <f>B30*0.7/100</f>
        <v>2.7999999999999997E-2</v>
      </c>
      <c r="D30" s="10">
        <f>B30*72.5/100</f>
        <v>2.9</v>
      </c>
      <c r="E30" s="10">
        <f>B30*1/100</f>
        <v>0.04</v>
      </c>
      <c r="F30" s="10">
        <f>B30*709/100</f>
        <v>28.36</v>
      </c>
      <c r="G30" s="7"/>
      <c r="H30" s="7"/>
      <c r="I30" s="1"/>
    </row>
    <row r="31" spans="1:9" x14ac:dyDescent="0.25">
      <c r="A31" s="2" t="s">
        <v>14</v>
      </c>
      <c r="B31" s="5"/>
      <c r="C31" s="5">
        <f>(C22+C23+C24+C25+C26+C27+C28+C29+C30)</f>
        <v>9.9410000000000025</v>
      </c>
      <c r="D31" s="5">
        <f>(D22+D23+D24+D25+D26+D27+D28+D29+D30)</f>
        <v>11.103</v>
      </c>
      <c r="E31" s="5">
        <f>(E22+E23+E24+E25+E26+E27+E28+E29+E30)</f>
        <v>17.723000000000003</v>
      </c>
      <c r="F31" s="5">
        <f>(F22+F23+F24+F25+F26+F27+F28+F29+F30)</f>
        <v>215.70000000000005</v>
      </c>
      <c r="G31" s="5" t="s">
        <v>291</v>
      </c>
      <c r="H31" s="5"/>
      <c r="I31" s="1" t="s">
        <v>244</v>
      </c>
    </row>
    <row r="32" spans="1:9" x14ac:dyDescent="0.25">
      <c r="A32" s="2" t="s">
        <v>121</v>
      </c>
      <c r="B32" s="7"/>
      <c r="C32" s="10">
        <f t="shared" ref="C32" si="5">B32*1.5/100</f>
        <v>0</v>
      </c>
      <c r="D32" s="10">
        <f t="shared" si="4"/>
        <v>0</v>
      </c>
      <c r="E32" s="10">
        <f t="shared" ref="E32" si="6">B32*19.2/100</f>
        <v>0</v>
      </c>
      <c r="F32" s="10">
        <f t="shared" ref="F32" si="7">B32*89/100</f>
        <v>0</v>
      </c>
      <c r="G32" s="7"/>
      <c r="H32" s="7"/>
      <c r="I32" s="1"/>
    </row>
    <row r="33" spans="1:9" x14ac:dyDescent="0.25">
      <c r="A33" s="1" t="s">
        <v>122</v>
      </c>
      <c r="B33" s="8">
        <v>120</v>
      </c>
      <c r="C33" s="10">
        <f>B33*16/100</f>
        <v>19.2</v>
      </c>
      <c r="D33" s="10">
        <f>B33*0.6/100</f>
        <v>0.72</v>
      </c>
      <c r="E33" s="10">
        <f>B33*0/100</f>
        <v>0</v>
      </c>
      <c r="F33" s="10">
        <f>B33*69/100</f>
        <v>82.8</v>
      </c>
      <c r="G33" s="7"/>
      <c r="H33" s="7"/>
      <c r="I33" s="1"/>
    </row>
    <row r="34" spans="1:9" x14ac:dyDescent="0.25">
      <c r="A34" s="1" t="s">
        <v>15</v>
      </c>
      <c r="B34" s="8">
        <v>50</v>
      </c>
      <c r="C34" s="10">
        <f>B34*2/100</f>
        <v>1</v>
      </c>
      <c r="D34" s="10">
        <f>B34*0.4/100</f>
        <v>0.2</v>
      </c>
      <c r="E34" s="10">
        <f>B34*17.3/100</f>
        <v>8.65</v>
      </c>
      <c r="F34" s="10">
        <f>B34*80/100</f>
        <v>40</v>
      </c>
      <c r="G34" s="7"/>
      <c r="H34" s="7"/>
      <c r="I34" s="1"/>
    </row>
    <row r="35" spans="1:9" x14ac:dyDescent="0.25">
      <c r="A35" s="1" t="s">
        <v>7</v>
      </c>
      <c r="B35" s="8">
        <v>30</v>
      </c>
      <c r="C35" s="10">
        <f>B35*2.8/100</f>
        <v>0.84</v>
      </c>
      <c r="D35" s="10">
        <f>B35*3.5/100</f>
        <v>1.05</v>
      </c>
      <c r="E35" s="10">
        <f>B35*4.7/100</f>
        <v>1.41</v>
      </c>
      <c r="F35" s="10">
        <f>B35*61/100</f>
        <v>18.3</v>
      </c>
      <c r="G35" s="7"/>
      <c r="H35" s="7"/>
      <c r="I35" s="1"/>
    </row>
    <row r="36" spans="1:9" x14ac:dyDescent="0.25">
      <c r="A36" s="1" t="s">
        <v>21</v>
      </c>
      <c r="B36" s="8">
        <v>15</v>
      </c>
      <c r="C36" s="10">
        <f>B36*12.7/100</f>
        <v>1.905</v>
      </c>
      <c r="D36" s="10">
        <f>B36*11.5/100</f>
        <v>1.7250000000000001</v>
      </c>
      <c r="E36" s="10">
        <f>B36*0.7/100</f>
        <v>0.105</v>
      </c>
      <c r="F36" s="10">
        <f>B36*157/100</f>
        <v>23.55</v>
      </c>
      <c r="G36" s="7"/>
      <c r="H36" s="7"/>
      <c r="I36" s="1"/>
    </row>
    <row r="37" spans="1:9" x14ac:dyDescent="0.25">
      <c r="A37" s="1" t="s">
        <v>123</v>
      </c>
      <c r="B37" s="8">
        <v>3</v>
      </c>
      <c r="C37" s="10">
        <f>B37*10.3/100</f>
        <v>0.309</v>
      </c>
      <c r="D37" s="10">
        <f>B37*1.1/100</f>
        <v>3.3000000000000002E-2</v>
      </c>
      <c r="E37" s="10">
        <f>B37*69/100</f>
        <v>2.0699999999999998</v>
      </c>
      <c r="F37" s="10">
        <f>B37*334/100</f>
        <v>10.02</v>
      </c>
      <c r="G37" s="7"/>
      <c r="H37" s="7"/>
      <c r="I37" s="1"/>
    </row>
    <row r="38" spans="1:9" x14ac:dyDescent="0.25">
      <c r="A38" s="1" t="s">
        <v>20</v>
      </c>
      <c r="B38" s="8">
        <v>13</v>
      </c>
      <c r="C38" s="10">
        <f>B38*1.4/100</f>
        <v>0.182</v>
      </c>
      <c r="D38" s="10">
        <f>B38*0/100</f>
        <v>0</v>
      </c>
      <c r="E38" s="10">
        <f>B38*9.1/100</f>
        <v>1.1830000000000001</v>
      </c>
      <c r="F38" s="10">
        <f>B38*41/100</f>
        <v>5.33</v>
      </c>
      <c r="G38" s="7"/>
      <c r="H38" s="7"/>
      <c r="I38" s="1"/>
    </row>
    <row r="39" spans="1:9" x14ac:dyDescent="0.25">
      <c r="A39" s="1" t="s">
        <v>57</v>
      </c>
      <c r="B39" s="8">
        <v>5</v>
      </c>
      <c r="C39" s="10">
        <f>B39*0/100</f>
        <v>0</v>
      </c>
      <c r="D39" s="10">
        <f>B39*99.9/100</f>
        <v>4.9950000000000001</v>
      </c>
      <c r="E39" s="10">
        <f>B39*0/100</f>
        <v>0</v>
      </c>
      <c r="F39" s="10">
        <f>B39*899/100</f>
        <v>44.95</v>
      </c>
      <c r="G39" s="7"/>
      <c r="H39" s="7"/>
      <c r="I39" s="1"/>
    </row>
    <row r="40" spans="1:9" x14ac:dyDescent="0.25">
      <c r="A40" s="2" t="s">
        <v>14</v>
      </c>
      <c r="B40" s="5"/>
      <c r="C40" s="5">
        <f>C33+C34+C35+C36+C37+C38+C39</f>
        <v>23.436</v>
      </c>
      <c r="D40" s="5">
        <f>D33+D34+D35+D36+D37+D38+D39</f>
        <v>8.7230000000000008</v>
      </c>
      <c r="E40" s="5">
        <f>E33+E34+E35+E36+E37+E38+E39</f>
        <v>13.418000000000001</v>
      </c>
      <c r="F40" s="5">
        <f>F33+F34+F35+F36+F37+F38+F39</f>
        <v>224.95000000000005</v>
      </c>
      <c r="G40" s="5">
        <v>130</v>
      </c>
      <c r="H40" s="5"/>
      <c r="I40" s="1"/>
    </row>
    <row r="41" spans="1:9" x14ac:dyDescent="0.25">
      <c r="A41" s="2" t="s">
        <v>124</v>
      </c>
      <c r="B41" s="5">
        <v>80</v>
      </c>
      <c r="C41" s="5">
        <f>B41*2.2/100</f>
        <v>1.76</v>
      </c>
      <c r="D41" s="5">
        <f>B41*0.4/100</f>
        <v>0.32</v>
      </c>
      <c r="E41" s="5">
        <f>B41*11.2/100</f>
        <v>8.9600000000000009</v>
      </c>
      <c r="F41" s="5">
        <f>B41*58/100</f>
        <v>46.4</v>
      </c>
      <c r="G41" s="5">
        <v>80</v>
      </c>
      <c r="H41" s="5"/>
      <c r="I41" s="1" t="s">
        <v>245</v>
      </c>
    </row>
    <row r="42" spans="1:9" x14ac:dyDescent="0.25">
      <c r="A42" s="2" t="s">
        <v>246</v>
      </c>
      <c r="B42" s="7"/>
      <c r="C42" s="10"/>
      <c r="D42" s="10"/>
      <c r="E42" s="10"/>
      <c r="F42" s="10"/>
      <c r="G42" s="7"/>
      <c r="H42" s="7"/>
      <c r="I42" s="1"/>
    </row>
    <row r="43" spans="1:9" x14ac:dyDescent="0.25">
      <c r="A43" s="1" t="s">
        <v>247</v>
      </c>
      <c r="B43" s="8">
        <v>8</v>
      </c>
      <c r="C43" s="10">
        <f>B43*0.9/100</f>
        <v>7.2000000000000008E-2</v>
      </c>
      <c r="D43" s="10">
        <f>B43*0.1/100</f>
        <v>8.0000000000000002E-3</v>
      </c>
      <c r="E43" s="10">
        <f>B43*3/100</f>
        <v>0.24</v>
      </c>
      <c r="F43" s="10">
        <f>B43*33/100</f>
        <v>2.64</v>
      </c>
      <c r="G43" s="7"/>
      <c r="H43" s="7"/>
      <c r="I43" s="1"/>
    </row>
    <row r="44" spans="1:9" x14ac:dyDescent="0.25">
      <c r="A44" s="1" t="s">
        <v>9</v>
      </c>
      <c r="B44" s="8">
        <v>9</v>
      </c>
      <c r="C44" s="11">
        <f>B44*0/100</f>
        <v>0</v>
      </c>
      <c r="D44" s="10">
        <f>B44*0/100</f>
        <v>0</v>
      </c>
      <c r="E44" s="10">
        <f>B44*99.8/100</f>
        <v>8.9819999999999993</v>
      </c>
      <c r="F44" s="10">
        <f>B44*379/100</f>
        <v>34.11</v>
      </c>
      <c r="G44" s="7"/>
      <c r="H44" s="7"/>
      <c r="I44" s="1"/>
    </row>
    <row r="45" spans="1:9" x14ac:dyDescent="0.25">
      <c r="A45" s="2" t="s">
        <v>14</v>
      </c>
      <c r="B45" s="5"/>
      <c r="C45" s="5">
        <f>C42+C43+C44</f>
        <v>7.2000000000000008E-2</v>
      </c>
      <c r="D45" s="5">
        <f>D42+D43+D44</f>
        <v>8.0000000000000002E-3</v>
      </c>
      <c r="E45" s="5">
        <f>E43+E44</f>
        <v>9.2219999999999995</v>
      </c>
      <c r="F45" s="5">
        <f>F43+F44</f>
        <v>36.75</v>
      </c>
      <c r="G45" s="5">
        <v>180</v>
      </c>
      <c r="H45" s="5"/>
      <c r="I45" s="1" t="s">
        <v>248</v>
      </c>
    </row>
    <row r="46" spans="1:9" x14ac:dyDescent="0.25">
      <c r="A46" s="1" t="s">
        <v>12</v>
      </c>
      <c r="B46" s="8">
        <v>40</v>
      </c>
      <c r="C46" s="10">
        <f>B46*7.7/100</f>
        <v>3.08</v>
      </c>
      <c r="D46" s="10">
        <f>B46*3/100</f>
        <v>1.2</v>
      </c>
      <c r="E46" s="10">
        <f>B46*49.8/100</f>
        <v>19.920000000000002</v>
      </c>
      <c r="F46" s="10">
        <f>B46*262/100</f>
        <v>104.8</v>
      </c>
      <c r="G46" s="5">
        <v>40</v>
      </c>
      <c r="H46" s="5"/>
      <c r="I46" s="1"/>
    </row>
    <row r="47" spans="1:9" x14ac:dyDescent="0.25">
      <c r="A47" s="1" t="s">
        <v>32</v>
      </c>
      <c r="B47" s="8">
        <v>60</v>
      </c>
      <c r="C47" s="10">
        <f>B47*6.6/100</f>
        <v>3.96</v>
      </c>
      <c r="D47" s="10">
        <f>B47*1.2/100</f>
        <v>0.72</v>
      </c>
      <c r="E47" s="10">
        <f>B47*34.2/100</f>
        <v>20.52</v>
      </c>
      <c r="F47" s="10">
        <f>B47*181/100</f>
        <v>108.6</v>
      </c>
      <c r="G47" s="5">
        <v>60</v>
      </c>
      <c r="H47" s="5"/>
      <c r="I47" s="1"/>
    </row>
    <row r="48" spans="1:9" x14ac:dyDescent="0.25">
      <c r="A48" s="2" t="s">
        <v>141</v>
      </c>
      <c r="B48" s="5"/>
      <c r="C48" s="5">
        <f>C31+C40+C41+C45+C46+C47</f>
        <v>42.249000000000002</v>
      </c>
      <c r="D48" s="5">
        <f>D31+D40+D41+D46+D47</f>
        <v>22.065999999999999</v>
      </c>
      <c r="E48" s="5">
        <f>E31+E40+E41+E46+E47</f>
        <v>80.541000000000011</v>
      </c>
      <c r="F48" s="5">
        <f>F31+F40+F41+F46+F47</f>
        <v>700.45</v>
      </c>
      <c r="G48" s="5">
        <v>808</v>
      </c>
      <c r="H48" s="5"/>
      <c r="I48" s="1"/>
    </row>
    <row r="49" spans="1:9" x14ac:dyDescent="0.25">
      <c r="A49" s="1" t="s">
        <v>196</v>
      </c>
      <c r="B49" s="7">
        <v>3</v>
      </c>
      <c r="C49" s="10"/>
      <c r="D49" s="10"/>
      <c r="E49" s="10"/>
      <c r="F49" s="10"/>
      <c r="G49" s="7"/>
      <c r="H49" s="7"/>
      <c r="I49" s="1"/>
    </row>
    <row r="50" spans="1:9" ht="28.5" customHeight="1" x14ac:dyDescent="0.25">
      <c r="A50" s="14" t="s">
        <v>187</v>
      </c>
      <c r="B50" s="16"/>
      <c r="C50" s="16">
        <f>C17+C19+C48</f>
        <v>65.593000000000004</v>
      </c>
      <c r="D50" s="16">
        <f>D17+D19+D48</f>
        <v>53.368000000000002</v>
      </c>
      <c r="E50" s="16">
        <f>E17+E19+E48</f>
        <v>191.18299999999999</v>
      </c>
      <c r="F50" s="16">
        <f>F17+F19+F48</f>
        <v>1537.85</v>
      </c>
      <c r="G50" s="5">
        <f>G17+G19+G48</f>
        <v>1559</v>
      </c>
      <c r="H50" s="5"/>
      <c r="I50" s="1"/>
    </row>
    <row r="51" spans="1:9" x14ac:dyDescent="0.25">
      <c r="A51" s="1"/>
      <c r="B51" s="7"/>
      <c r="C51" s="10"/>
      <c r="D51" s="10"/>
      <c r="E51" s="10"/>
      <c r="F51" s="10"/>
      <c r="G51" s="7"/>
      <c r="H51" s="7"/>
      <c r="I51" s="1"/>
    </row>
  </sheetData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7" workbookViewId="0">
      <selection activeCell="G49" sqref="G49"/>
    </sheetView>
  </sheetViews>
  <sheetFormatPr defaultRowHeight="15" x14ac:dyDescent="0.2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 x14ac:dyDescent="0.25">
      <c r="A1" s="2" t="s">
        <v>36</v>
      </c>
      <c r="B1" s="7"/>
      <c r="C1" s="10"/>
      <c r="D1" s="10"/>
      <c r="E1" s="10"/>
      <c r="F1" s="10"/>
      <c r="G1" s="7"/>
      <c r="H1" s="7" t="s">
        <v>128</v>
      </c>
      <c r="I1" s="2" t="s">
        <v>197</v>
      </c>
    </row>
    <row r="2" spans="1:9" x14ac:dyDescent="0.25">
      <c r="A2" s="2" t="s">
        <v>129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1" t="s">
        <v>130</v>
      </c>
      <c r="B3" s="8">
        <v>120</v>
      </c>
      <c r="C3" s="10">
        <f>B3*16.7/100</f>
        <v>20.04</v>
      </c>
      <c r="D3" s="10">
        <f>B3*9/100</f>
        <v>10.8</v>
      </c>
      <c r="E3" s="10">
        <f>B3*1.9/100</f>
        <v>2.2799999999999998</v>
      </c>
      <c r="F3" s="10">
        <f>B3*88/100</f>
        <v>105.6</v>
      </c>
      <c r="G3" s="7"/>
      <c r="H3" s="7"/>
      <c r="I3" s="1"/>
    </row>
    <row r="4" spans="1:9" x14ac:dyDescent="0.25">
      <c r="A4" s="1" t="s">
        <v>66</v>
      </c>
      <c r="B4" s="8">
        <v>30</v>
      </c>
      <c r="C4" s="10">
        <f>B4*7/100</f>
        <v>2.1</v>
      </c>
      <c r="D4" s="10">
        <f>B4*1/100</f>
        <v>0.3</v>
      </c>
      <c r="E4" s="10">
        <f>B4*71.4/100</f>
        <v>21.42</v>
      </c>
      <c r="F4" s="10">
        <f>B4*330/100</f>
        <v>99</v>
      </c>
      <c r="G4" s="7"/>
      <c r="H4" s="7"/>
      <c r="I4" s="1"/>
    </row>
    <row r="5" spans="1:9" x14ac:dyDescent="0.25">
      <c r="A5" s="1" t="s">
        <v>7</v>
      </c>
      <c r="B5" s="8">
        <v>30</v>
      </c>
      <c r="C5" s="10">
        <f>B5*2.8/100</f>
        <v>0.84</v>
      </c>
      <c r="D5" s="10">
        <f>B5*3.5/100</f>
        <v>1.05</v>
      </c>
      <c r="E5" s="10">
        <f>B5*4.7/100</f>
        <v>1.41</v>
      </c>
      <c r="F5" s="10">
        <f>B5*61/100</f>
        <v>18.3</v>
      </c>
      <c r="G5" s="7"/>
      <c r="H5" s="7"/>
      <c r="I5" s="1"/>
    </row>
    <row r="6" spans="1:9" x14ac:dyDescent="0.25">
      <c r="A6" s="1" t="s">
        <v>21</v>
      </c>
      <c r="B6" s="8">
        <v>12</v>
      </c>
      <c r="C6" s="10">
        <f>B6*12.7/100</f>
        <v>1.5239999999999998</v>
      </c>
      <c r="D6" s="10">
        <f>B6*11.5/100</f>
        <v>1.38</v>
      </c>
      <c r="E6" s="10">
        <f>B6*0.7/100</f>
        <v>8.3999999999999991E-2</v>
      </c>
      <c r="F6" s="10">
        <f>B6*157/100</f>
        <v>18.84</v>
      </c>
      <c r="G6" s="7"/>
      <c r="H6" s="7"/>
      <c r="I6" s="1"/>
    </row>
    <row r="7" spans="1:9" x14ac:dyDescent="0.25">
      <c r="A7" s="1" t="s">
        <v>9</v>
      </c>
      <c r="B7" s="8">
        <v>8</v>
      </c>
      <c r="C7" s="10">
        <f>B7*0/100</f>
        <v>0</v>
      </c>
      <c r="D7" s="10">
        <f>B7*0/100</f>
        <v>0</v>
      </c>
      <c r="E7" s="10">
        <f>B7*99.8/100</f>
        <v>7.984</v>
      </c>
      <c r="F7" s="10">
        <f>B7*379/100</f>
        <v>30.32</v>
      </c>
      <c r="G7" s="7"/>
      <c r="H7" s="7"/>
      <c r="I7" s="1"/>
    </row>
    <row r="8" spans="1:9" x14ac:dyDescent="0.25">
      <c r="A8" s="1" t="s">
        <v>131</v>
      </c>
      <c r="B8" s="8">
        <v>40</v>
      </c>
      <c r="C8" s="10">
        <f>B8*0.4/100</f>
        <v>0.16</v>
      </c>
      <c r="D8" s="10">
        <f>B8*0/100</f>
        <v>0</v>
      </c>
      <c r="E8" s="10">
        <f>B8*63.9/100</f>
        <v>25.56</v>
      </c>
      <c r="F8" s="10">
        <f>B8*242/100</f>
        <v>96.8</v>
      </c>
      <c r="G8" s="7"/>
      <c r="H8" s="7"/>
      <c r="I8" s="1"/>
    </row>
    <row r="9" spans="1:9" x14ac:dyDescent="0.25">
      <c r="A9" s="1" t="s">
        <v>57</v>
      </c>
      <c r="B9" s="8">
        <v>5</v>
      </c>
      <c r="C9" s="10">
        <f>B9*0/100</f>
        <v>0</v>
      </c>
      <c r="D9" s="10">
        <f>B9*99.9/100</f>
        <v>4.9950000000000001</v>
      </c>
      <c r="E9" s="10">
        <f>B9*0/100</f>
        <v>0</v>
      </c>
      <c r="F9" s="10">
        <f>B9*899/100</f>
        <v>44.95</v>
      </c>
      <c r="G9" s="7"/>
      <c r="H9" s="7"/>
      <c r="I9" s="1"/>
    </row>
    <row r="10" spans="1:9" x14ac:dyDescent="0.25">
      <c r="A10" s="2" t="s">
        <v>91</v>
      </c>
      <c r="B10" s="5"/>
      <c r="C10" s="5">
        <f>C3+C4+C5+C6+C7+C8+C9</f>
        <v>24.664000000000001</v>
      </c>
      <c r="D10" s="5">
        <f>D3+D4+D5+D6+D7+D8+D9</f>
        <v>18.525000000000002</v>
      </c>
      <c r="E10" s="5">
        <f>E3+E4+E5+E6+E7+E8+E9</f>
        <v>58.738</v>
      </c>
      <c r="F10" s="5">
        <f>F3+F4+F5+F6+F7+F8+F9</f>
        <v>413.81</v>
      </c>
      <c r="G10" s="5" t="s">
        <v>292</v>
      </c>
      <c r="H10" s="5"/>
      <c r="I10" s="1" t="s">
        <v>249</v>
      </c>
    </row>
    <row r="11" spans="1:9" x14ac:dyDescent="0.25">
      <c r="A11" s="2" t="s">
        <v>82</v>
      </c>
      <c r="B11" s="7"/>
      <c r="C11" s="10"/>
      <c r="D11" s="10"/>
      <c r="E11" s="10"/>
      <c r="F11" s="10"/>
      <c r="G11" s="7"/>
      <c r="H11" s="7"/>
      <c r="I11" s="1"/>
    </row>
    <row r="12" spans="1:9" x14ac:dyDescent="0.25">
      <c r="A12" s="1" t="s">
        <v>83</v>
      </c>
      <c r="B12" s="8">
        <v>1.2</v>
      </c>
      <c r="C12" s="10">
        <f>B12*0/100</f>
        <v>0</v>
      </c>
      <c r="D12" s="10">
        <f>B12*0/100</f>
        <v>0</v>
      </c>
      <c r="E12" s="10">
        <f>B12*0/100</f>
        <v>0</v>
      </c>
      <c r="F12" s="10">
        <f>B12*0/100</f>
        <v>0</v>
      </c>
      <c r="G12" s="7"/>
      <c r="H12" s="7"/>
      <c r="I12" s="1"/>
    </row>
    <row r="13" spans="1:9" x14ac:dyDescent="0.25">
      <c r="A13" s="1" t="s">
        <v>9</v>
      </c>
      <c r="B13" s="8">
        <v>5</v>
      </c>
      <c r="C13" s="10">
        <f>B13*0/100</f>
        <v>0</v>
      </c>
      <c r="D13" s="10">
        <f>B13*0/100</f>
        <v>0</v>
      </c>
      <c r="E13" s="10">
        <f>B13*99.8/100</f>
        <v>4.99</v>
      </c>
      <c r="F13" s="10">
        <f>B13*379/100</f>
        <v>18.95</v>
      </c>
      <c r="G13" s="7"/>
      <c r="H13" s="7"/>
      <c r="I13" s="1"/>
    </row>
    <row r="14" spans="1:9" x14ac:dyDescent="0.25">
      <c r="A14" s="1" t="s">
        <v>84</v>
      </c>
      <c r="B14" s="8">
        <v>8</v>
      </c>
      <c r="C14" s="10">
        <f>B14*0.9/100</f>
        <v>7.2000000000000008E-2</v>
      </c>
      <c r="D14" s="10">
        <f>B14*0.1/100</f>
        <v>8.0000000000000002E-3</v>
      </c>
      <c r="E14" s="10">
        <f>B14*3/100</f>
        <v>0.24</v>
      </c>
      <c r="F14" s="10">
        <f>B14*33/100</f>
        <v>2.64</v>
      </c>
      <c r="G14" s="7"/>
      <c r="H14" s="7"/>
      <c r="I14" s="1"/>
    </row>
    <row r="15" spans="1:9" x14ac:dyDescent="0.25">
      <c r="A15" s="2" t="s">
        <v>14</v>
      </c>
      <c r="B15" s="5"/>
      <c r="C15" s="5">
        <f>C12+C13+C14</f>
        <v>7.2000000000000008E-2</v>
      </c>
      <c r="D15" s="5">
        <f>D12+D13+D14</f>
        <v>8.0000000000000002E-3</v>
      </c>
      <c r="E15" s="5">
        <f>E12+E13+E14</f>
        <v>5.23</v>
      </c>
      <c r="F15" s="5">
        <f>F12+F13+F14</f>
        <v>21.59</v>
      </c>
      <c r="G15" s="5">
        <v>200</v>
      </c>
      <c r="H15" s="5"/>
      <c r="I15" s="1" t="s">
        <v>227</v>
      </c>
    </row>
    <row r="16" spans="1:9" x14ac:dyDescent="0.25">
      <c r="A16" s="1" t="s">
        <v>12</v>
      </c>
      <c r="B16" s="8">
        <v>40</v>
      </c>
      <c r="C16" s="10">
        <f>B16*7.7/100</f>
        <v>3.08</v>
      </c>
      <c r="D16" s="10">
        <f>B16*3/100</f>
        <v>1.2</v>
      </c>
      <c r="E16" s="10">
        <f>B16*49.8/100</f>
        <v>19.920000000000002</v>
      </c>
      <c r="F16" s="10">
        <f>B16*262/100</f>
        <v>104.8</v>
      </c>
      <c r="G16" s="5">
        <v>40</v>
      </c>
      <c r="H16" s="5"/>
      <c r="I16" s="1"/>
    </row>
    <row r="17" spans="1:9" x14ac:dyDescent="0.25">
      <c r="A17" s="1" t="s">
        <v>8</v>
      </c>
      <c r="B17" s="8">
        <v>10</v>
      </c>
      <c r="C17" s="10">
        <f>B17*0.7/100</f>
        <v>7.0000000000000007E-2</v>
      </c>
      <c r="D17" s="10">
        <f>B17*72.5/100</f>
        <v>7.25</v>
      </c>
      <c r="E17" s="10">
        <f>B17*1/100</f>
        <v>0.1</v>
      </c>
      <c r="F17" s="10">
        <f>B17*709/100</f>
        <v>70.900000000000006</v>
      </c>
      <c r="G17" s="5">
        <v>10</v>
      </c>
      <c r="H17" s="5"/>
      <c r="I17" s="1"/>
    </row>
    <row r="18" spans="1:9" x14ac:dyDescent="0.25">
      <c r="A18" s="2" t="s">
        <v>118</v>
      </c>
      <c r="B18" s="5"/>
      <c r="C18" s="5">
        <f>C10+C15+C16+C17</f>
        <v>27.886000000000003</v>
      </c>
      <c r="D18" s="5">
        <f>D10+D15+D16+D17</f>
        <v>26.983000000000001</v>
      </c>
      <c r="E18" s="5">
        <f>E10+E15+E16+E17</f>
        <v>83.988</v>
      </c>
      <c r="F18" s="5">
        <f>F10+F15+F16+F17</f>
        <v>611.09999999999991</v>
      </c>
      <c r="G18" s="5">
        <v>455</v>
      </c>
      <c r="H18" s="5"/>
      <c r="I18" s="1"/>
    </row>
    <row r="19" spans="1:9" x14ac:dyDescent="0.25">
      <c r="A19" s="2"/>
      <c r="B19" s="5"/>
      <c r="C19" s="5"/>
      <c r="D19" s="5"/>
      <c r="E19" s="5"/>
      <c r="F19" s="5"/>
      <c r="G19" s="7"/>
      <c r="H19" s="7"/>
      <c r="I19" s="1"/>
    </row>
    <row r="20" spans="1:9" ht="28.5" customHeight="1" x14ac:dyDescent="0.25">
      <c r="A20" s="2" t="s">
        <v>183</v>
      </c>
      <c r="B20" s="5">
        <v>200</v>
      </c>
      <c r="C20" s="5">
        <f>B20*0.5/100</f>
        <v>1</v>
      </c>
      <c r="D20" s="5">
        <f>B20*0/100</f>
        <v>0</v>
      </c>
      <c r="E20" s="5">
        <f>B20*9.1/100</f>
        <v>18.2</v>
      </c>
      <c r="F20" s="5">
        <f>B20*38/100</f>
        <v>76</v>
      </c>
      <c r="G20" s="5">
        <v>200</v>
      </c>
      <c r="H20" s="5"/>
      <c r="I20" s="1"/>
    </row>
    <row r="21" spans="1:9" ht="29.25" customHeight="1" x14ac:dyDescent="0.25">
      <c r="A21" s="1" t="s">
        <v>33</v>
      </c>
      <c r="B21" s="7"/>
      <c r="C21" s="10"/>
      <c r="D21" s="10"/>
      <c r="E21" s="10"/>
      <c r="F21" s="10"/>
      <c r="G21" s="5"/>
      <c r="H21" s="5"/>
      <c r="I21" s="1"/>
    </row>
    <row r="22" spans="1:9" x14ac:dyDescent="0.25">
      <c r="A22" s="2" t="s">
        <v>133</v>
      </c>
      <c r="B22" s="7"/>
      <c r="C22" s="10"/>
      <c r="D22" s="10"/>
      <c r="E22" s="10"/>
      <c r="F22" s="10"/>
      <c r="G22" s="7"/>
      <c r="H22" s="7"/>
      <c r="I22" s="1"/>
    </row>
    <row r="23" spans="1:9" x14ac:dyDescent="0.25">
      <c r="A23" s="1" t="s">
        <v>18</v>
      </c>
      <c r="B23" s="7"/>
      <c r="C23" s="10"/>
      <c r="D23" s="10"/>
      <c r="E23" s="10"/>
      <c r="F23" s="10"/>
      <c r="G23" s="7"/>
      <c r="H23" s="7"/>
      <c r="I23" s="1"/>
    </row>
    <row r="24" spans="1:9" x14ac:dyDescent="0.25">
      <c r="A24" s="1" t="s">
        <v>15</v>
      </c>
      <c r="B24" s="8">
        <v>50</v>
      </c>
      <c r="C24" s="10">
        <f>B24*2/100</f>
        <v>1</v>
      </c>
      <c r="D24" s="10">
        <f>B24*0.4/100</f>
        <v>0.2</v>
      </c>
      <c r="E24" s="10">
        <f>B24*17.3/100</f>
        <v>8.65</v>
      </c>
      <c r="F24" s="10">
        <f>B24*80/100</f>
        <v>40</v>
      </c>
      <c r="G24" s="7"/>
      <c r="H24" s="7"/>
      <c r="I24" s="1"/>
    </row>
    <row r="25" spans="1:9" x14ac:dyDescent="0.25">
      <c r="A25" s="1" t="s">
        <v>26</v>
      </c>
      <c r="B25" s="8">
        <v>30</v>
      </c>
      <c r="C25" s="10">
        <f>B25*1.8/100</f>
        <v>0.54</v>
      </c>
      <c r="D25" s="10">
        <f>B25*0.1/100</f>
        <v>0.03</v>
      </c>
      <c r="E25" s="10">
        <f>B25*4.7/100</f>
        <v>1.41</v>
      </c>
      <c r="F25" s="10">
        <f>B25*27/100</f>
        <v>8.1</v>
      </c>
      <c r="G25" s="7"/>
      <c r="H25" s="7"/>
      <c r="I25" s="1"/>
    </row>
    <row r="26" spans="1:9" x14ac:dyDescent="0.25">
      <c r="A26" s="1" t="s">
        <v>97</v>
      </c>
      <c r="B26" s="8">
        <v>20</v>
      </c>
      <c r="C26" s="10">
        <f>B26*3.2/100</f>
        <v>0.64</v>
      </c>
      <c r="D26" s="10">
        <f>B26*0.2/100</f>
        <v>0.04</v>
      </c>
      <c r="E26" s="10">
        <f>B26*6.5/100</f>
        <v>1.3</v>
      </c>
      <c r="F26" s="10">
        <f>B26*40/100</f>
        <v>8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10">
        <f>B27*1.4/100</f>
        <v>0.182</v>
      </c>
      <c r="D27" s="10">
        <f>B27*0/100</f>
        <v>0</v>
      </c>
      <c r="E27" s="10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16</v>
      </c>
      <c r="B28" s="8">
        <v>13</v>
      </c>
      <c r="C28" s="10">
        <f>B28*1.3/100</f>
        <v>0.16900000000000001</v>
      </c>
      <c r="D28" s="10">
        <f>B28*0.1/100</f>
        <v>1.3000000000000001E-2</v>
      </c>
      <c r="E28" s="10">
        <f>B28*8.4/100</f>
        <v>1.0920000000000001</v>
      </c>
      <c r="F28" s="10">
        <f>B28*34/100</f>
        <v>4.42</v>
      </c>
      <c r="G28" s="7"/>
      <c r="H28" s="7"/>
      <c r="I28" s="1"/>
    </row>
    <row r="29" spans="1:9" x14ac:dyDescent="0.25">
      <c r="A29" s="1" t="s">
        <v>28</v>
      </c>
      <c r="B29" s="8">
        <v>4</v>
      </c>
      <c r="C29" s="10">
        <f>B29*4.8/100</f>
        <v>0.192</v>
      </c>
      <c r="D29" s="10">
        <f>B29*0/100</f>
        <v>0</v>
      </c>
      <c r="E29" s="10">
        <f>B29*19/100</f>
        <v>0.76</v>
      </c>
      <c r="F29" s="10">
        <f>B29*99/100</f>
        <v>3.96</v>
      </c>
      <c r="G29" s="7"/>
      <c r="H29" s="7"/>
      <c r="I29" s="1"/>
    </row>
    <row r="30" spans="1:9" x14ac:dyDescent="0.25">
      <c r="A30" s="1" t="s">
        <v>132</v>
      </c>
      <c r="B30" s="8">
        <v>4</v>
      </c>
      <c r="C30" s="10">
        <f>B30*0.7/100</f>
        <v>2.7999999999999997E-2</v>
      </c>
      <c r="D30" s="10">
        <f>B30*72.5/100</f>
        <v>2.9</v>
      </c>
      <c r="E30" s="10">
        <f>B30*1/100</f>
        <v>0.04</v>
      </c>
      <c r="F30" s="10">
        <f>B30*709/100</f>
        <v>28.36</v>
      </c>
      <c r="G30" s="7"/>
      <c r="H30" s="7"/>
      <c r="I30" s="1"/>
    </row>
    <row r="31" spans="1:9" x14ac:dyDescent="0.25">
      <c r="A31" s="1" t="s">
        <v>69</v>
      </c>
      <c r="B31" s="8">
        <v>10</v>
      </c>
      <c r="C31" s="10">
        <f>B31*2.8/100</f>
        <v>0.28000000000000003</v>
      </c>
      <c r="D31" s="10">
        <f>B31*15/100</f>
        <v>1.5</v>
      </c>
      <c r="E31" s="10">
        <f>B31*3.2/100</f>
        <v>0.32</v>
      </c>
      <c r="F31" s="10">
        <f>B31*206/100</f>
        <v>20.6</v>
      </c>
      <c r="G31" s="7"/>
      <c r="H31" s="7"/>
      <c r="I31" s="1"/>
    </row>
    <row r="32" spans="1:9" x14ac:dyDescent="0.25">
      <c r="A32" s="2" t="s">
        <v>14</v>
      </c>
      <c r="B32" s="5"/>
      <c r="C32" s="5">
        <f>C24+C25+C26+C27+C28+C29+C30+C31</f>
        <v>3.0310000000000006</v>
      </c>
      <c r="D32" s="5">
        <f>D24+D25+D26+D27+D28+D29+D30+D31</f>
        <v>4.6829999999999998</v>
      </c>
      <c r="E32" s="5">
        <f>E24+E25+E26+E27+E28+E29+E30+E31</f>
        <v>14.755000000000001</v>
      </c>
      <c r="F32" s="5">
        <f>F24+F25+F26+F27+F28+F29+F30+F31</f>
        <v>118.76999999999998</v>
      </c>
      <c r="G32" s="5" t="s">
        <v>290</v>
      </c>
      <c r="H32" s="5"/>
      <c r="I32" s="1" t="s">
        <v>250</v>
      </c>
    </row>
    <row r="33" spans="1:9" x14ac:dyDescent="0.25">
      <c r="A33" s="2" t="s">
        <v>284</v>
      </c>
      <c r="B33" s="7"/>
      <c r="C33" s="10"/>
      <c r="D33" s="10"/>
      <c r="E33" s="10"/>
      <c r="F33" s="10"/>
      <c r="G33" s="7"/>
      <c r="H33" s="7"/>
      <c r="I33" s="1"/>
    </row>
    <row r="34" spans="1:9" x14ac:dyDescent="0.25">
      <c r="A34" s="3" t="s">
        <v>135</v>
      </c>
      <c r="B34" s="5">
        <v>100</v>
      </c>
      <c r="C34" s="5">
        <f>B34*18.6/100</f>
        <v>18.600000000000001</v>
      </c>
      <c r="D34" s="5">
        <f>B34*18.4/100</f>
        <v>18.399999999999999</v>
      </c>
      <c r="E34" s="5">
        <f>B34*0.7/100</f>
        <v>0.7</v>
      </c>
      <c r="F34" s="5">
        <f>B34*241/100</f>
        <v>241</v>
      </c>
      <c r="G34" s="5">
        <v>70</v>
      </c>
      <c r="H34" s="5"/>
      <c r="I34" s="1" t="s">
        <v>285</v>
      </c>
    </row>
    <row r="35" spans="1:9" x14ac:dyDescent="0.25">
      <c r="A35" s="2" t="s">
        <v>275</v>
      </c>
      <c r="B35" s="7"/>
      <c r="C35" s="10"/>
      <c r="D35" s="10"/>
      <c r="E35" s="10"/>
      <c r="F35" s="10"/>
      <c r="G35" s="7"/>
      <c r="H35" s="7"/>
      <c r="I35" s="1"/>
    </row>
    <row r="36" spans="1:9" x14ac:dyDescent="0.25">
      <c r="A36" s="1" t="s">
        <v>17</v>
      </c>
      <c r="B36" s="8">
        <v>45</v>
      </c>
      <c r="C36" s="10">
        <f>B36*10.4/100</f>
        <v>4.68</v>
      </c>
      <c r="D36" s="10">
        <f>B36*1.1/100</f>
        <v>0.49500000000000005</v>
      </c>
      <c r="E36" s="10">
        <f>B36*69.7/100</f>
        <v>31.364999999999998</v>
      </c>
      <c r="F36" s="10">
        <f>B36*337/100</f>
        <v>151.65</v>
      </c>
      <c r="G36" s="7"/>
      <c r="H36" s="7"/>
      <c r="I36" s="1"/>
    </row>
    <row r="37" spans="1:9" x14ac:dyDescent="0.25">
      <c r="A37" s="1" t="s">
        <v>132</v>
      </c>
      <c r="B37" s="7">
        <v>4</v>
      </c>
      <c r="C37" s="10">
        <f>B37*0.7/100</f>
        <v>2.7999999999999997E-2</v>
      </c>
      <c r="D37" s="10">
        <f>B37*72.5/100</f>
        <v>2.9</v>
      </c>
      <c r="E37" s="10">
        <f>B37*1/100</f>
        <v>0.04</v>
      </c>
      <c r="F37" s="10">
        <f>B37*709/100</f>
        <v>28.36</v>
      </c>
      <c r="G37" s="7"/>
      <c r="H37" s="7"/>
      <c r="I37" s="1"/>
    </row>
    <row r="38" spans="1:9" x14ac:dyDescent="0.25">
      <c r="A38" s="2" t="s">
        <v>14</v>
      </c>
      <c r="B38" s="5"/>
      <c r="C38" s="5">
        <f>C36+C37</f>
        <v>4.7079999999999993</v>
      </c>
      <c r="D38" s="5">
        <f>D36+D37</f>
        <v>3.395</v>
      </c>
      <c r="E38" s="5">
        <f>E36+E37</f>
        <v>31.404999999999998</v>
      </c>
      <c r="F38" s="5">
        <f>F36+F37</f>
        <v>180.01</v>
      </c>
      <c r="G38" s="5">
        <v>130</v>
      </c>
      <c r="H38" s="5"/>
      <c r="I38" s="1" t="s">
        <v>251</v>
      </c>
    </row>
    <row r="39" spans="1:9" x14ac:dyDescent="0.25">
      <c r="A39" s="2" t="s">
        <v>87</v>
      </c>
      <c r="B39" s="7"/>
      <c r="C39" s="10"/>
      <c r="D39" s="10"/>
      <c r="E39" s="10"/>
      <c r="F39" s="10"/>
      <c r="G39" s="7"/>
      <c r="H39" s="7"/>
      <c r="I39" s="1"/>
    </row>
    <row r="40" spans="1:9" x14ac:dyDescent="0.25">
      <c r="A40" s="1" t="s">
        <v>88</v>
      </c>
      <c r="B40" s="8">
        <v>12</v>
      </c>
      <c r="C40" s="10">
        <f>B40*3/100</f>
        <v>0.36</v>
      </c>
      <c r="D40" s="10">
        <f>B40*0/100</f>
        <v>0</v>
      </c>
      <c r="E40" s="10">
        <f>B40*21.5/100</f>
        <v>2.58</v>
      </c>
      <c r="F40" s="10">
        <f>B40*110/100</f>
        <v>13.2</v>
      </c>
      <c r="G40" s="7"/>
      <c r="H40" s="7"/>
      <c r="I40" s="1"/>
    </row>
    <row r="41" spans="1:9" x14ac:dyDescent="0.25">
      <c r="A41" s="1" t="s">
        <v>9</v>
      </c>
      <c r="B41" s="8">
        <v>5</v>
      </c>
      <c r="C41" s="10">
        <f>B41*0/100</f>
        <v>0</v>
      </c>
      <c r="D41" s="10">
        <f>B41*0/100</f>
        <v>0</v>
      </c>
      <c r="E41" s="10">
        <f>B41*99.8/100</f>
        <v>4.99</v>
      </c>
      <c r="F41" s="10">
        <f>B41*379/100</f>
        <v>18.95</v>
      </c>
      <c r="G41" s="7"/>
      <c r="H41" s="7"/>
      <c r="I41" s="1"/>
    </row>
    <row r="42" spans="1:9" x14ac:dyDescent="0.25">
      <c r="A42" s="2" t="s">
        <v>14</v>
      </c>
      <c r="B42" s="5"/>
      <c r="C42" s="5">
        <f>C40+C41</f>
        <v>0.36</v>
      </c>
      <c r="D42" s="5">
        <f t="shared" ref="D42" si="0">B42*0.1/100</f>
        <v>0</v>
      </c>
      <c r="E42" s="5">
        <f>E40+E41</f>
        <v>7.57</v>
      </c>
      <c r="F42" s="5">
        <f>F40+F41</f>
        <v>32.15</v>
      </c>
      <c r="G42" s="5">
        <v>180</v>
      </c>
      <c r="H42" s="5"/>
      <c r="I42" s="1" t="s">
        <v>230</v>
      </c>
    </row>
    <row r="43" spans="1:9" x14ac:dyDescent="0.25">
      <c r="A43" s="2" t="s">
        <v>138</v>
      </c>
      <c r="B43" s="5">
        <v>65</v>
      </c>
      <c r="C43" s="5">
        <f>B43*0.8/100</f>
        <v>0.52</v>
      </c>
      <c r="D43" s="5">
        <f>B43*4/100</f>
        <v>2.6</v>
      </c>
      <c r="E43" s="5">
        <f>B43*4.3/100</f>
        <v>2.7949999999999999</v>
      </c>
      <c r="F43" s="5">
        <f>B43*55/100</f>
        <v>35.75</v>
      </c>
      <c r="G43" s="5">
        <v>65</v>
      </c>
      <c r="H43" s="5"/>
      <c r="I43" s="1" t="s">
        <v>252</v>
      </c>
    </row>
    <row r="44" spans="1:9" x14ac:dyDescent="0.25">
      <c r="A44" s="1" t="s">
        <v>12</v>
      </c>
      <c r="B44" s="7">
        <v>40</v>
      </c>
      <c r="C44" s="10">
        <f>B44*7.7/100</f>
        <v>3.08</v>
      </c>
      <c r="D44" s="10">
        <f>B44*3/100</f>
        <v>1.2</v>
      </c>
      <c r="E44" s="10">
        <f>B44*49.8/100</f>
        <v>19.920000000000002</v>
      </c>
      <c r="F44" s="10">
        <f>B44*262/100</f>
        <v>104.8</v>
      </c>
      <c r="G44" s="5">
        <v>40</v>
      </c>
      <c r="H44" s="5"/>
      <c r="I44" s="1"/>
    </row>
    <row r="45" spans="1:9" x14ac:dyDescent="0.25">
      <c r="A45" s="1" t="s">
        <v>32</v>
      </c>
      <c r="B45" s="7">
        <v>60</v>
      </c>
      <c r="C45" s="10">
        <f>B45*6.6/100</f>
        <v>3.96</v>
      </c>
      <c r="D45" s="10">
        <f>B45*1.2/100</f>
        <v>0.72</v>
      </c>
      <c r="E45" s="10">
        <f>B45*34.2/100</f>
        <v>20.52</v>
      </c>
      <c r="F45" s="10">
        <f>B45*181/100</f>
        <v>108.6</v>
      </c>
      <c r="G45" s="5">
        <v>60</v>
      </c>
      <c r="H45" s="5"/>
      <c r="I45" s="1"/>
    </row>
    <row r="46" spans="1:9" x14ac:dyDescent="0.25">
      <c r="A46" s="2" t="s">
        <v>76</v>
      </c>
      <c r="B46" s="5"/>
      <c r="C46" s="5">
        <f>C32+C34+C38+C42+C43+C44+C45</f>
        <v>34.259</v>
      </c>
      <c r="D46" s="5">
        <f>D32+D34+D38+D43+D44+D45</f>
        <v>30.997999999999998</v>
      </c>
      <c r="E46" s="5">
        <f>E32+E38+E42+E43+E44+E45</f>
        <v>96.964999999999989</v>
      </c>
      <c r="F46" s="5">
        <f>F32+F38+F42+F43+F44+F45</f>
        <v>580.07999999999993</v>
      </c>
      <c r="G46" s="5">
        <v>800</v>
      </c>
      <c r="H46" s="7"/>
      <c r="I46" s="1"/>
    </row>
    <row r="47" spans="1:9" x14ac:dyDescent="0.25">
      <c r="A47" s="1" t="s">
        <v>196</v>
      </c>
      <c r="B47" s="7">
        <v>3</v>
      </c>
      <c r="C47" s="10"/>
      <c r="D47" s="10"/>
      <c r="E47" s="10"/>
      <c r="F47" s="10"/>
      <c r="G47" s="7"/>
      <c r="H47" s="7"/>
      <c r="I47" s="1"/>
    </row>
    <row r="48" spans="1:9" ht="44.25" customHeight="1" x14ac:dyDescent="0.25">
      <c r="A48" s="14" t="s">
        <v>269</v>
      </c>
      <c r="B48" s="16"/>
      <c r="C48" s="16">
        <f>C18+C20+C46</f>
        <v>63.145000000000003</v>
      </c>
      <c r="D48" s="16">
        <f>D18+D20+D46</f>
        <v>57.980999999999995</v>
      </c>
      <c r="E48" s="16">
        <f>E18+E20+E46</f>
        <v>199.15299999999999</v>
      </c>
      <c r="F48" s="16">
        <f>F18+F20+F46</f>
        <v>1267.1799999999998</v>
      </c>
      <c r="G48" s="5">
        <f>G18+G20+G46</f>
        <v>1455</v>
      </c>
      <c r="H48" s="5"/>
      <c r="I48" s="1"/>
    </row>
    <row r="49" spans="1:9" x14ac:dyDescent="0.25">
      <c r="A49" s="1"/>
      <c r="B49" s="7"/>
      <c r="C49" s="10"/>
      <c r="D49" s="10"/>
      <c r="E49" s="10"/>
      <c r="F49" s="10"/>
      <c r="G49" s="7"/>
      <c r="H49" s="7"/>
      <c r="I49" s="1"/>
    </row>
  </sheetData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topLeftCell="A46" workbookViewId="0">
      <selection activeCell="G59" sqref="G59"/>
    </sheetView>
  </sheetViews>
  <sheetFormatPr defaultRowHeight="15" x14ac:dyDescent="0.25"/>
  <cols>
    <col min="1" max="1" width="43" customWidth="1"/>
    <col min="2" max="2" width="7.7109375" customWidth="1"/>
    <col min="3" max="3" width="8.5703125" customWidth="1"/>
    <col min="7" max="7" width="13.85546875" customWidth="1"/>
    <col min="8" max="8" width="7.85546875" customWidth="1"/>
    <col min="9" max="9" width="13.5703125" customWidth="1"/>
  </cols>
  <sheetData>
    <row r="1" spans="1:9" x14ac:dyDescent="0.25">
      <c r="A1" s="2" t="s">
        <v>36</v>
      </c>
      <c r="B1" s="7"/>
      <c r="C1" s="10"/>
      <c r="D1" s="10"/>
      <c r="E1" s="10"/>
      <c r="F1" s="10"/>
      <c r="G1" s="5"/>
      <c r="H1" s="5" t="s">
        <v>253</v>
      </c>
      <c r="I1" s="2"/>
    </row>
    <row r="2" spans="1:9" x14ac:dyDescent="0.25">
      <c r="A2" s="2" t="s">
        <v>298</v>
      </c>
      <c r="B2" s="7"/>
      <c r="C2" s="5" t="s">
        <v>279</v>
      </c>
      <c r="D2" s="5" t="s">
        <v>280</v>
      </c>
      <c r="E2" s="5" t="s">
        <v>281</v>
      </c>
      <c r="F2" s="5" t="s">
        <v>4</v>
      </c>
      <c r="G2" s="5" t="s">
        <v>283</v>
      </c>
      <c r="H2" s="5"/>
      <c r="I2" s="2" t="s">
        <v>197</v>
      </c>
    </row>
    <row r="3" spans="1:9" x14ac:dyDescent="0.25">
      <c r="A3" s="1" t="s">
        <v>299</v>
      </c>
      <c r="B3" s="8">
        <v>110</v>
      </c>
      <c r="C3" s="7">
        <f>B3*18.2/100</f>
        <v>20.02</v>
      </c>
      <c r="D3" s="7">
        <f>B3*18.4/100</f>
        <v>20.239999999999998</v>
      </c>
      <c r="E3" s="7">
        <f>B3*0.7/100</f>
        <v>0.77</v>
      </c>
      <c r="F3" s="7">
        <f>B3*241/100</f>
        <v>265.10000000000002</v>
      </c>
      <c r="G3" s="7"/>
      <c r="H3" s="7"/>
      <c r="I3" s="1"/>
    </row>
    <row r="4" spans="1:9" x14ac:dyDescent="0.25">
      <c r="A4" s="1" t="s">
        <v>20</v>
      </c>
      <c r="B4" s="8">
        <v>13</v>
      </c>
      <c r="C4" s="7">
        <f>B4*1.4/100</f>
        <v>0.182</v>
      </c>
      <c r="D4" s="7">
        <f>B4*0/100</f>
        <v>0</v>
      </c>
      <c r="E4" s="7">
        <f>B4*9.1/100</f>
        <v>1.1830000000000001</v>
      </c>
      <c r="F4" s="7">
        <f>B4*41/100</f>
        <v>5.33</v>
      </c>
      <c r="G4" s="7"/>
      <c r="H4" s="7"/>
      <c r="I4" s="1"/>
    </row>
    <row r="5" spans="1:9" x14ac:dyDescent="0.25">
      <c r="A5" s="1" t="s">
        <v>21</v>
      </c>
      <c r="B5" s="8">
        <v>8</v>
      </c>
      <c r="C5" s="7">
        <f>B5*12.7/40</f>
        <v>2.54</v>
      </c>
      <c r="D5" s="7">
        <f>B5*11.5/40</f>
        <v>2.2999999999999998</v>
      </c>
      <c r="E5" s="7">
        <f>B5*0.7/40</f>
        <v>0.13999999999999999</v>
      </c>
      <c r="F5" s="7">
        <f>B5*157/40</f>
        <v>31.4</v>
      </c>
      <c r="G5" s="7"/>
      <c r="H5" s="7"/>
      <c r="I5" s="1"/>
    </row>
    <row r="6" spans="1:9" x14ac:dyDescent="0.25">
      <c r="A6" s="1" t="s">
        <v>12</v>
      </c>
      <c r="B6" s="7">
        <v>10</v>
      </c>
      <c r="C6" s="7">
        <f>B6*7.7/100</f>
        <v>0.77</v>
      </c>
      <c r="D6" s="7">
        <f>B6*3/100</f>
        <v>0.3</v>
      </c>
      <c r="E6" s="7">
        <f>B6*49.8/100</f>
        <v>4.9800000000000004</v>
      </c>
      <c r="F6" s="7">
        <f>B6*262/100</f>
        <v>26.2</v>
      </c>
      <c r="G6" s="7"/>
      <c r="H6" s="7"/>
      <c r="I6" s="1"/>
    </row>
    <row r="7" spans="1:9" x14ac:dyDescent="0.25">
      <c r="A7" s="1" t="s">
        <v>57</v>
      </c>
      <c r="B7" s="7">
        <v>5</v>
      </c>
      <c r="C7" s="7">
        <f>B7*0/100</f>
        <v>0</v>
      </c>
      <c r="D7" s="7">
        <f>B7*99.9/100</f>
        <v>4.9950000000000001</v>
      </c>
      <c r="E7" s="7">
        <f>B7*0/100</f>
        <v>0</v>
      </c>
      <c r="F7" s="7">
        <f>B7*899/100</f>
        <v>44.95</v>
      </c>
      <c r="G7" s="7"/>
      <c r="H7" s="7"/>
      <c r="I7" s="1"/>
    </row>
    <row r="8" spans="1:9" x14ac:dyDescent="0.25">
      <c r="A8" s="2" t="s">
        <v>14</v>
      </c>
      <c r="B8" s="5"/>
      <c r="C8" s="5">
        <f>C3+C4+C5+C6</f>
        <v>23.511999999999997</v>
      </c>
      <c r="D8" s="5">
        <f>(D3+D4+D5+D6+D7)</f>
        <v>27.835000000000001</v>
      </c>
      <c r="E8" s="5">
        <f>E3+E4+E5+E6</f>
        <v>7.0730000000000004</v>
      </c>
      <c r="F8" s="5">
        <f>(F3+F4+F5+F6+F7)</f>
        <v>372.97999999999996</v>
      </c>
      <c r="G8" s="5">
        <v>90</v>
      </c>
      <c r="H8" s="5"/>
      <c r="I8" s="1" t="s">
        <v>203</v>
      </c>
    </row>
    <row r="9" spans="1:9" x14ac:dyDescent="0.25">
      <c r="A9" s="2" t="s">
        <v>71</v>
      </c>
      <c r="B9" s="5"/>
      <c r="C9" s="5"/>
      <c r="D9" s="5"/>
      <c r="E9" s="5"/>
      <c r="F9" s="5"/>
      <c r="G9" s="5"/>
      <c r="H9" s="5"/>
      <c r="I9" s="1"/>
    </row>
    <row r="10" spans="1:9" x14ac:dyDescent="0.25">
      <c r="A10" s="3" t="s">
        <v>15</v>
      </c>
      <c r="B10" s="8">
        <v>160</v>
      </c>
      <c r="C10" s="10">
        <f>B10*2/100</f>
        <v>3.2</v>
      </c>
      <c r="D10" s="10">
        <f>B10*0.4/100</f>
        <v>0.64</v>
      </c>
      <c r="E10" s="10">
        <f>B10*17.3/100</f>
        <v>27.68</v>
      </c>
      <c r="F10" s="10">
        <f>B10*80/100</f>
        <v>128</v>
      </c>
      <c r="G10" s="5"/>
      <c r="H10" s="5"/>
      <c r="I10" s="1"/>
    </row>
    <row r="11" spans="1:9" x14ac:dyDescent="0.25">
      <c r="A11" s="3" t="s">
        <v>7</v>
      </c>
      <c r="B11" s="8">
        <v>40</v>
      </c>
      <c r="C11" s="10">
        <f>B11*2.8/100</f>
        <v>1.1200000000000001</v>
      </c>
      <c r="D11" s="10">
        <f>B11*3.5/100</f>
        <v>1.4</v>
      </c>
      <c r="E11" s="10">
        <f>B11*4.7/100</f>
        <v>1.88</v>
      </c>
      <c r="F11" s="10">
        <f>B11*61/100</f>
        <v>24.4</v>
      </c>
      <c r="G11" s="5"/>
      <c r="H11" s="5"/>
      <c r="I11" s="1"/>
    </row>
    <row r="12" spans="1:9" x14ac:dyDescent="0.25">
      <c r="A12" s="3" t="s">
        <v>8</v>
      </c>
      <c r="B12" s="8">
        <v>3</v>
      </c>
      <c r="C12" s="10">
        <f>B12*0.7/100</f>
        <v>2.0999999999999998E-2</v>
      </c>
      <c r="D12" s="10">
        <f>B12*72.5/100</f>
        <v>2.1749999999999998</v>
      </c>
      <c r="E12" s="10">
        <f>B12*1/100</f>
        <v>0.03</v>
      </c>
      <c r="F12" s="10">
        <f>B12*709/100</f>
        <v>21.27</v>
      </c>
      <c r="G12" s="5"/>
      <c r="H12" s="5"/>
      <c r="I12" s="1"/>
    </row>
    <row r="13" spans="1:9" x14ac:dyDescent="0.25">
      <c r="A13" s="2" t="s">
        <v>300</v>
      </c>
      <c r="B13" s="5"/>
      <c r="C13" s="5">
        <f>C10+C11+C12</f>
        <v>4.3410000000000002</v>
      </c>
      <c r="D13" s="5">
        <f>D10+D11+D12</f>
        <v>4.2149999999999999</v>
      </c>
      <c r="E13" s="5">
        <f>E10+E11+E12</f>
        <v>29.59</v>
      </c>
      <c r="F13" s="5">
        <f>F10+F11+F12</f>
        <v>173.67000000000002</v>
      </c>
      <c r="G13" s="5">
        <v>190</v>
      </c>
      <c r="H13" s="5"/>
      <c r="I13" s="1" t="s">
        <v>220</v>
      </c>
    </row>
    <row r="14" spans="1:9" x14ac:dyDescent="0.25">
      <c r="A14" s="2" t="s">
        <v>144</v>
      </c>
      <c r="B14" s="7"/>
      <c r="C14" s="10"/>
      <c r="D14" s="10"/>
      <c r="E14" s="10"/>
      <c r="F14" s="10"/>
      <c r="G14" s="5"/>
      <c r="H14" s="5"/>
      <c r="I14" s="1"/>
    </row>
    <row r="15" spans="1:9" x14ac:dyDescent="0.25">
      <c r="A15" s="1" t="s">
        <v>39</v>
      </c>
      <c r="B15" s="8">
        <v>1.2</v>
      </c>
      <c r="C15" s="10">
        <f>B15*24.2/100</f>
        <v>0.29039999999999999</v>
      </c>
      <c r="D15" s="10">
        <f>B15*17.5/100</f>
        <v>0.21</v>
      </c>
      <c r="E15" s="10">
        <f>B15*27.9/100</f>
        <v>0.33479999999999999</v>
      </c>
      <c r="F15" s="10">
        <f>B15*373/100</f>
        <v>4.476</v>
      </c>
      <c r="G15" s="5"/>
      <c r="H15" s="5"/>
      <c r="I15" s="1"/>
    </row>
    <row r="16" spans="1:9" x14ac:dyDescent="0.25">
      <c r="A16" s="1" t="s">
        <v>7</v>
      </c>
      <c r="B16" s="8">
        <v>120</v>
      </c>
      <c r="C16" s="10">
        <f>B16*2.8/100</f>
        <v>3.36</v>
      </c>
      <c r="D16" s="10">
        <f>B16*3.5/100</f>
        <v>4.2</v>
      </c>
      <c r="E16" s="10">
        <f>B16*4.7/100</f>
        <v>5.64</v>
      </c>
      <c r="F16" s="10">
        <f>B16*61/100</f>
        <v>73.2</v>
      </c>
      <c r="G16" s="5"/>
      <c r="H16" s="5"/>
      <c r="I16" s="1"/>
    </row>
    <row r="17" spans="1:9" x14ac:dyDescent="0.25">
      <c r="A17" s="1" t="s">
        <v>9</v>
      </c>
      <c r="B17" s="8">
        <v>10</v>
      </c>
      <c r="C17" s="10">
        <f>B17*0/100</f>
        <v>0</v>
      </c>
      <c r="D17" s="10">
        <f>B17*0/100</f>
        <v>0</v>
      </c>
      <c r="E17" s="10">
        <f>B17*99.8/100</f>
        <v>9.98</v>
      </c>
      <c r="F17" s="10">
        <f>B17*379/100</f>
        <v>37.9</v>
      </c>
      <c r="G17" s="5"/>
      <c r="H17" s="5"/>
      <c r="I17" s="1"/>
    </row>
    <row r="18" spans="1:9" x14ac:dyDescent="0.25">
      <c r="A18" s="2" t="s">
        <v>14</v>
      </c>
      <c r="B18" s="5"/>
      <c r="C18" s="5">
        <f>C15+C16+C17</f>
        <v>3.6503999999999999</v>
      </c>
      <c r="D18" s="5">
        <f>D15+D16+D17</f>
        <v>4.41</v>
      </c>
      <c r="E18" s="5">
        <f>E15+E16+E17</f>
        <v>15.954800000000001</v>
      </c>
      <c r="F18" s="5">
        <f>F15+F16+F17</f>
        <v>115.57599999999999</v>
      </c>
      <c r="G18" s="5">
        <v>200</v>
      </c>
      <c r="H18" s="5"/>
      <c r="I18" s="1" t="s">
        <v>207</v>
      </c>
    </row>
    <row r="19" spans="1:9" x14ac:dyDescent="0.25">
      <c r="A19" s="2" t="s">
        <v>21</v>
      </c>
      <c r="B19" s="5">
        <v>20</v>
      </c>
      <c r="C19" s="5">
        <f>B19*12.7/100</f>
        <v>2.54</v>
      </c>
      <c r="D19" s="5">
        <f>B19*11.5/100</f>
        <v>2.2999999999999998</v>
      </c>
      <c r="E19" s="5">
        <f t="shared" ref="E19" si="0">B19*19.2/100</f>
        <v>3.84</v>
      </c>
      <c r="F19" s="5">
        <f>B19*157/100</f>
        <v>31.4</v>
      </c>
      <c r="G19" s="5">
        <v>20</v>
      </c>
      <c r="H19" s="5"/>
      <c r="I19" s="2" t="s">
        <v>208</v>
      </c>
    </row>
    <row r="20" spans="1:9" x14ac:dyDescent="0.25">
      <c r="A20" s="1" t="s">
        <v>12</v>
      </c>
      <c r="B20" s="7">
        <v>60</v>
      </c>
      <c r="C20" s="10">
        <f>B20*7.7/100</f>
        <v>4.62</v>
      </c>
      <c r="D20" s="10">
        <f>B20*3/100</f>
        <v>1.8</v>
      </c>
      <c r="E20" s="7">
        <f>B20*49.8/100</f>
        <v>29.88</v>
      </c>
      <c r="F20" s="10">
        <f>B20*262/100</f>
        <v>157.19999999999999</v>
      </c>
      <c r="G20" s="5">
        <v>60</v>
      </c>
      <c r="H20" s="5"/>
      <c r="I20" s="1"/>
    </row>
    <row r="21" spans="1:9" x14ac:dyDescent="0.25">
      <c r="A21" s="1" t="s">
        <v>8</v>
      </c>
      <c r="B21" s="7">
        <v>8</v>
      </c>
      <c r="C21" s="10">
        <f>B21*0.7/100</f>
        <v>5.5999999999999994E-2</v>
      </c>
      <c r="D21" s="10">
        <f>B21*72.5/100</f>
        <v>5.8</v>
      </c>
      <c r="E21" s="7">
        <f>B21*1/100</f>
        <v>0.08</v>
      </c>
      <c r="F21" s="10">
        <f>B21*709/100</f>
        <v>56.72</v>
      </c>
      <c r="G21" s="5">
        <v>10</v>
      </c>
      <c r="H21" s="5"/>
      <c r="I21" s="1"/>
    </row>
    <row r="22" spans="1:9" x14ac:dyDescent="0.25">
      <c r="A22" s="2" t="s">
        <v>118</v>
      </c>
      <c r="B22" s="5"/>
      <c r="C22" s="5">
        <f>C8+C18+C19+C20+C21</f>
        <v>34.378399999999992</v>
      </c>
      <c r="D22" s="5">
        <f>D8+D18+D19+D20+D21</f>
        <v>42.144999999999996</v>
      </c>
      <c r="E22" s="5">
        <f>E8+E18+E19+E20+E21</f>
        <v>56.827799999999996</v>
      </c>
      <c r="F22" s="5">
        <f>F8+F18+F19+F20+F21</f>
        <v>733.87599999999998</v>
      </c>
      <c r="G22" s="5">
        <v>540</v>
      </c>
      <c r="H22" s="5"/>
      <c r="I22" s="1"/>
    </row>
    <row r="23" spans="1:9" x14ac:dyDescent="0.25">
      <c r="A23" s="1"/>
      <c r="B23" s="7"/>
      <c r="C23" s="10"/>
      <c r="D23" s="10"/>
      <c r="E23" s="7"/>
      <c r="F23" s="10"/>
      <c r="G23" s="5"/>
      <c r="H23" s="5"/>
      <c r="I23" s="1"/>
    </row>
    <row r="24" spans="1:9" x14ac:dyDescent="0.25">
      <c r="A24" s="2" t="s">
        <v>145</v>
      </c>
      <c r="B24" s="5">
        <v>180</v>
      </c>
      <c r="C24" s="5">
        <f>B24*0.9/100</f>
        <v>1.62</v>
      </c>
      <c r="D24" s="5">
        <f>B24*0.2/100</f>
        <v>0.36</v>
      </c>
      <c r="E24" s="5">
        <f>B24*8.1/100</f>
        <v>14.58</v>
      </c>
      <c r="F24" s="5">
        <f>B24*40/100</f>
        <v>72</v>
      </c>
      <c r="G24" s="5">
        <v>180</v>
      </c>
      <c r="H24" s="5"/>
      <c r="I24" s="1" t="s">
        <v>254</v>
      </c>
    </row>
    <row r="25" spans="1:9" ht="12" customHeight="1" x14ac:dyDescent="0.25">
      <c r="A25" s="1"/>
      <c r="B25" s="7"/>
      <c r="C25" s="10"/>
      <c r="D25" s="10"/>
      <c r="E25" s="7"/>
      <c r="F25" s="10"/>
      <c r="G25" s="7"/>
      <c r="H25" s="7"/>
      <c r="I25" s="1"/>
    </row>
    <row r="26" spans="1:9" x14ac:dyDescent="0.25">
      <c r="A26" s="1" t="s">
        <v>33</v>
      </c>
      <c r="B26" s="7"/>
      <c r="C26" s="10"/>
      <c r="D26" s="10"/>
      <c r="E26" s="7"/>
      <c r="F26" s="10"/>
      <c r="G26" s="7"/>
      <c r="H26" s="7"/>
      <c r="I26" s="1"/>
    </row>
    <row r="27" spans="1:9" x14ac:dyDescent="0.25">
      <c r="A27" s="2" t="s">
        <v>146</v>
      </c>
      <c r="B27" s="7"/>
      <c r="C27" s="10"/>
      <c r="D27" s="10"/>
      <c r="E27" s="7"/>
      <c r="F27" s="10"/>
      <c r="G27" s="7"/>
      <c r="H27" s="7"/>
      <c r="I27" s="1"/>
    </row>
    <row r="28" spans="1:9" x14ac:dyDescent="0.25">
      <c r="A28" s="1" t="s">
        <v>147</v>
      </c>
      <c r="B28" s="8">
        <v>30</v>
      </c>
      <c r="C28" s="10">
        <f>B28*18.6/100</f>
        <v>5.58</v>
      </c>
      <c r="D28" s="10">
        <f>B28*16/100</f>
        <v>4.8</v>
      </c>
      <c r="E28" s="7">
        <f>B28*0/100</f>
        <v>0</v>
      </c>
      <c r="F28" s="10">
        <f>B28*218/100</f>
        <v>65.400000000000006</v>
      </c>
      <c r="G28" s="7"/>
      <c r="H28" s="7"/>
      <c r="I28" s="1"/>
    </row>
    <row r="29" spans="1:9" x14ac:dyDescent="0.25">
      <c r="A29" s="1" t="s">
        <v>148</v>
      </c>
      <c r="B29" s="8">
        <v>15</v>
      </c>
      <c r="C29" s="10">
        <f>B29*23/100</f>
        <v>3.45</v>
      </c>
      <c r="D29" s="10">
        <f>B29*1.6/100</f>
        <v>0.24</v>
      </c>
      <c r="E29" s="7">
        <f>B29*53.3/100</f>
        <v>7.9950000000000001</v>
      </c>
      <c r="F29" s="10">
        <f>B29*323/100</f>
        <v>48.45</v>
      </c>
      <c r="G29" s="7"/>
      <c r="H29" s="7"/>
      <c r="I29" s="1"/>
    </row>
    <row r="30" spans="1:9" x14ac:dyDescent="0.25">
      <c r="A30" s="1" t="s">
        <v>15</v>
      </c>
      <c r="B30" s="8">
        <v>50</v>
      </c>
      <c r="C30" s="10">
        <f>B30*2/100</f>
        <v>1</v>
      </c>
      <c r="D30" s="10">
        <f>B30*0.4/100</f>
        <v>0.2</v>
      </c>
      <c r="E30" s="7">
        <f>B30*17.3/100</f>
        <v>8.65</v>
      </c>
      <c r="F30" s="10">
        <f>B30*80/100</f>
        <v>40</v>
      </c>
      <c r="G30" s="7"/>
      <c r="H30" s="7"/>
      <c r="I30" s="1"/>
    </row>
    <row r="31" spans="1:9" x14ac:dyDescent="0.25">
      <c r="A31" s="1" t="s">
        <v>20</v>
      </c>
      <c r="B31" s="8">
        <v>13</v>
      </c>
      <c r="C31" s="10">
        <f>B31*1.4/100</f>
        <v>0.182</v>
      </c>
      <c r="D31" s="10">
        <f>B31*0/100</f>
        <v>0</v>
      </c>
      <c r="E31" s="7">
        <f>B31*9.1/100</f>
        <v>1.1830000000000001</v>
      </c>
      <c r="F31" s="10">
        <f>B31*41/100</f>
        <v>5.33</v>
      </c>
      <c r="G31" s="7"/>
      <c r="H31" s="7"/>
      <c r="I31" s="1"/>
    </row>
    <row r="32" spans="1:9" x14ac:dyDescent="0.25">
      <c r="A32" s="1" t="s">
        <v>16</v>
      </c>
      <c r="B32" s="8">
        <v>13</v>
      </c>
      <c r="C32" s="10">
        <f>B32*1.3/100</f>
        <v>0.16900000000000001</v>
      </c>
      <c r="D32" s="10">
        <f>B32*0.1/100</f>
        <v>1.3000000000000001E-2</v>
      </c>
      <c r="E32" s="7">
        <f>B32*8.4/100</f>
        <v>1.0920000000000001</v>
      </c>
      <c r="F32" s="10">
        <f>B32*34/100</f>
        <v>4.42</v>
      </c>
      <c r="G32" s="7"/>
      <c r="H32" s="7"/>
      <c r="I32" s="1"/>
    </row>
    <row r="33" spans="1:9" x14ac:dyDescent="0.25">
      <c r="A33" s="1" t="s">
        <v>8</v>
      </c>
      <c r="B33" s="8">
        <v>2</v>
      </c>
      <c r="C33" s="10">
        <f>B33*0.7/100</f>
        <v>1.3999999999999999E-2</v>
      </c>
      <c r="D33" s="10">
        <f t="shared" ref="D33:D46" si="1">B33*72.5/100</f>
        <v>1.45</v>
      </c>
      <c r="E33" s="7">
        <f>B33*1/100</f>
        <v>0.02</v>
      </c>
      <c r="F33" s="10">
        <f>B33*709/100</f>
        <v>14.18</v>
      </c>
      <c r="G33" s="5"/>
      <c r="H33" s="5"/>
      <c r="I33" s="1"/>
    </row>
    <row r="34" spans="1:9" x14ac:dyDescent="0.25">
      <c r="A34" s="2" t="s">
        <v>14</v>
      </c>
      <c r="B34" s="5"/>
      <c r="C34" s="5">
        <f>C28+C29+C30+C31+C32+C33</f>
        <v>10.395000000000001</v>
      </c>
      <c r="D34" s="5">
        <f>D28+D29+D30+D31+D32+D33</f>
        <v>6.7030000000000003</v>
      </c>
      <c r="E34" s="5">
        <f>E28+E29+E30+E31+E32+E33</f>
        <v>18.939999999999998</v>
      </c>
      <c r="F34" s="5">
        <f>F28+F29+F30+F31+F32+F33</f>
        <v>177.78000000000003</v>
      </c>
      <c r="G34" s="5">
        <v>250</v>
      </c>
      <c r="H34" s="5"/>
      <c r="I34" s="1" t="s">
        <v>255</v>
      </c>
    </row>
    <row r="35" spans="1:9" x14ac:dyDescent="0.25">
      <c r="A35" s="2" t="s">
        <v>149</v>
      </c>
      <c r="B35" s="7"/>
      <c r="C35" s="10"/>
      <c r="D35" s="10"/>
      <c r="E35" s="7"/>
      <c r="F35" s="10"/>
      <c r="G35" s="5"/>
      <c r="H35" s="5"/>
      <c r="I35" s="1"/>
    </row>
    <row r="36" spans="1:9" x14ac:dyDescent="0.25">
      <c r="A36" s="1" t="s">
        <v>147</v>
      </c>
      <c r="B36" s="8">
        <v>70</v>
      </c>
      <c r="C36" s="10">
        <f>B36*18.6/100</f>
        <v>13.02</v>
      </c>
      <c r="D36" s="10">
        <f>B36*16/100</f>
        <v>11.2</v>
      </c>
      <c r="E36" s="7">
        <f>B36*0/100</f>
        <v>0</v>
      </c>
      <c r="F36" s="10">
        <f>B36*218/100</f>
        <v>152.6</v>
      </c>
      <c r="G36" s="5"/>
      <c r="H36" s="5"/>
      <c r="I36" s="1"/>
    </row>
    <row r="37" spans="1:9" x14ac:dyDescent="0.25">
      <c r="A37" s="1" t="s">
        <v>21</v>
      </c>
      <c r="B37" s="8">
        <v>8</v>
      </c>
      <c r="C37" s="10">
        <f>B37*12.7/100</f>
        <v>1.016</v>
      </c>
      <c r="D37" s="10">
        <f>B37*11.5/100</f>
        <v>0.92</v>
      </c>
      <c r="E37" s="7">
        <f>B37*0.7/100</f>
        <v>5.5999999999999994E-2</v>
      </c>
      <c r="F37" s="10">
        <f>B37*157/100</f>
        <v>12.56</v>
      </c>
      <c r="G37" s="5"/>
      <c r="H37" s="5"/>
      <c r="I37" s="1"/>
    </row>
    <row r="38" spans="1:9" x14ac:dyDescent="0.25">
      <c r="A38" s="1" t="s">
        <v>20</v>
      </c>
      <c r="B38" s="8">
        <v>18</v>
      </c>
      <c r="C38" s="10">
        <f>B38*1.4/100</f>
        <v>0.252</v>
      </c>
      <c r="D38" s="10">
        <f>B38*0/100</f>
        <v>0</v>
      </c>
      <c r="E38" s="7">
        <f>B38*9.1/100</f>
        <v>1.6379999999999999</v>
      </c>
      <c r="F38" s="10">
        <f>B38*41/100</f>
        <v>7.38</v>
      </c>
      <c r="G38" s="5"/>
      <c r="H38" s="5"/>
      <c r="I38" s="1"/>
    </row>
    <row r="39" spans="1:9" x14ac:dyDescent="0.25">
      <c r="A39" s="1" t="s">
        <v>16</v>
      </c>
      <c r="B39" s="8">
        <v>18</v>
      </c>
      <c r="C39" s="10">
        <f>B39*1.3/100</f>
        <v>0.23400000000000001</v>
      </c>
      <c r="D39" s="10">
        <f>B39*0.1/100</f>
        <v>1.8000000000000002E-2</v>
      </c>
      <c r="E39" s="7">
        <f>B39*8.4/100</f>
        <v>1.5120000000000002</v>
      </c>
      <c r="F39" s="10">
        <f>B39*34/100</f>
        <v>6.12</v>
      </c>
      <c r="G39" s="5"/>
      <c r="H39" s="5"/>
      <c r="I39" s="1"/>
    </row>
    <row r="40" spans="1:9" x14ac:dyDescent="0.25">
      <c r="A40" s="1" t="s">
        <v>28</v>
      </c>
      <c r="B40" s="8">
        <v>4</v>
      </c>
      <c r="C40" s="10">
        <f>B40*4.8/100</f>
        <v>0.192</v>
      </c>
      <c r="D40" s="10">
        <f>B40*0/100</f>
        <v>0</v>
      </c>
      <c r="E40" s="7">
        <f>B40*19/100</f>
        <v>0.76</v>
      </c>
      <c r="F40" s="10">
        <f>B40*99/100</f>
        <v>3.96</v>
      </c>
      <c r="G40" s="5"/>
      <c r="H40" s="5"/>
      <c r="I40" s="1"/>
    </row>
    <row r="41" spans="1:9" x14ac:dyDescent="0.25">
      <c r="A41" s="1" t="s">
        <v>123</v>
      </c>
      <c r="B41" s="8">
        <v>3</v>
      </c>
      <c r="C41" s="10">
        <f>B41*10.3/100</f>
        <v>0.309</v>
      </c>
      <c r="D41" s="10">
        <f>B41*1.1/100</f>
        <v>3.3000000000000002E-2</v>
      </c>
      <c r="E41" s="7">
        <f>B41*69/100</f>
        <v>2.0699999999999998</v>
      </c>
      <c r="F41" s="10">
        <f>B41*334/100</f>
        <v>10.02</v>
      </c>
      <c r="G41" s="5"/>
      <c r="H41" s="5"/>
      <c r="I41" s="1"/>
    </row>
    <row r="42" spans="1:9" x14ac:dyDescent="0.25">
      <c r="A42" s="1" t="s">
        <v>57</v>
      </c>
      <c r="B42" s="8">
        <v>5</v>
      </c>
      <c r="C42" s="10">
        <f>B42*0/100</f>
        <v>0</v>
      </c>
      <c r="D42" s="10">
        <f>B42*99.9/100</f>
        <v>4.9950000000000001</v>
      </c>
      <c r="E42" s="7">
        <f>B42*0/100</f>
        <v>0</v>
      </c>
      <c r="F42" s="10">
        <f>B42*899/100</f>
        <v>44.95</v>
      </c>
      <c r="G42" s="5"/>
      <c r="H42" s="5"/>
      <c r="I42" s="1"/>
    </row>
    <row r="43" spans="1:9" x14ac:dyDescent="0.25">
      <c r="A43" s="1" t="s">
        <v>12</v>
      </c>
      <c r="B43" s="8">
        <v>10</v>
      </c>
      <c r="C43" s="10">
        <f>B43*7.7/100</f>
        <v>0.77</v>
      </c>
      <c r="D43" s="10">
        <f>B43*3/100</f>
        <v>0.3</v>
      </c>
      <c r="E43" s="7">
        <f>B43*49.8/100</f>
        <v>4.9800000000000004</v>
      </c>
      <c r="F43" s="10">
        <f>B43*262/100</f>
        <v>26.2</v>
      </c>
      <c r="G43" s="5"/>
      <c r="H43" s="5"/>
      <c r="I43" s="1"/>
    </row>
    <row r="44" spans="1:9" x14ac:dyDescent="0.25">
      <c r="A44" s="2" t="s">
        <v>14</v>
      </c>
      <c r="B44" s="5"/>
      <c r="C44" s="5">
        <f>C36+C37+C38+C39+C40+C41+C42+C43</f>
        <v>15.792999999999999</v>
      </c>
      <c r="D44" s="5">
        <f>D36+D37+D38+D39+D40+D41+D42+D43</f>
        <v>17.466000000000001</v>
      </c>
      <c r="E44" s="5">
        <f>E36+E37+E38+E39+E40+E41+E42+E43</f>
        <v>11.016</v>
      </c>
      <c r="F44" s="5">
        <f>F36+F37+F38+F39+F40+F41+F42+F43</f>
        <v>263.79000000000002</v>
      </c>
      <c r="G44" s="5" t="s">
        <v>293</v>
      </c>
      <c r="H44" s="5"/>
      <c r="I44" s="1" t="s">
        <v>256</v>
      </c>
    </row>
    <row r="45" spans="1:9" x14ac:dyDescent="0.25">
      <c r="A45" s="2" t="s">
        <v>150</v>
      </c>
      <c r="B45" s="8">
        <v>40</v>
      </c>
      <c r="C45" s="10">
        <f>B45*12.6/100</f>
        <v>5.04</v>
      </c>
      <c r="D45" s="10">
        <f>B45*3.3/100</f>
        <v>1.32</v>
      </c>
      <c r="E45" s="7">
        <f>B45*62.1/100</f>
        <v>24.84</v>
      </c>
      <c r="F45" s="10">
        <f>B45*335/100</f>
        <v>134</v>
      </c>
      <c r="G45" s="5">
        <v>120</v>
      </c>
      <c r="H45" s="5"/>
      <c r="I45" s="1"/>
    </row>
    <row r="46" spans="1:9" x14ac:dyDescent="0.25">
      <c r="A46" s="1" t="s">
        <v>151</v>
      </c>
      <c r="B46" s="7">
        <v>3</v>
      </c>
      <c r="C46" s="10">
        <f>B46*0.7/100</f>
        <v>2.0999999999999998E-2</v>
      </c>
      <c r="D46" s="10">
        <f t="shared" si="1"/>
        <v>2.1749999999999998</v>
      </c>
      <c r="E46" s="7">
        <f>B46*1/100</f>
        <v>0.03</v>
      </c>
      <c r="F46" s="10">
        <f>B46*709/100</f>
        <v>21.27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5.0609999999999999</v>
      </c>
      <c r="D47" s="5">
        <f>D45+D46</f>
        <v>3.4950000000000001</v>
      </c>
      <c r="E47" s="5">
        <f>E45+E46</f>
        <v>24.87</v>
      </c>
      <c r="F47" s="5">
        <f>F45+F46</f>
        <v>155.27000000000001</v>
      </c>
      <c r="G47" s="5"/>
      <c r="H47" s="5"/>
      <c r="I47" s="1" t="s">
        <v>257</v>
      </c>
    </row>
    <row r="48" spans="1:9" x14ac:dyDescent="0.25">
      <c r="A48" s="2" t="s">
        <v>258</v>
      </c>
      <c r="B48" s="5">
        <v>200</v>
      </c>
      <c r="C48" s="5">
        <f>B48*0.5/100</f>
        <v>1</v>
      </c>
      <c r="D48" s="5">
        <f>B48*0/100</f>
        <v>0</v>
      </c>
      <c r="E48" s="5">
        <f>B48*9.1/100</f>
        <v>18.2</v>
      </c>
      <c r="F48" s="5">
        <f>B48*38/100</f>
        <v>76</v>
      </c>
      <c r="G48" s="5">
        <v>200</v>
      </c>
      <c r="H48" s="5"/>
      <c r="I48" s="1"/>
    </row>
    <row r="49" spans="1:9" x14ac:dyDescent="0.25">
      <c r="A49" s="2"/>
      <c r="B49" s="5"/>
      <c r="C49" s="5"/>
      <c r="D49" s="5"/>
      <c r="E49" s="5"/>
      <c r="F49" s="5"/>
      <c r="G49" s="5"/>
      <c r="H49" s="5"/>
      <c r="I49" s="1"/>
    </row>
    <row r="50" spans="1:9" x14ac:dyDescent="0.25">
      <c r="A50" s="2" t="s">
        <v>153</v>
      </c>
      <c r="B50" s="7">
        <v>50</v>
      </c>
      <c r="C50" s="10">
        <f>B50*0.8/100</f>
        <v>0.4</v>
      </c>
      <c r="D50" s="10">
        <f>B50*0/100</f>
        <v>0</v>
      </c>
      <c r="E50" s="7">
        <f>B50*1.8/100</f>
        <v>0.9</v>
      </c>
      <c r="F50" s="10">
        <f>B50*28/100</f>
        <v>14</v>
      </c>
      <c r="G50" s="5"/>
      <c r="H50" s="5"/>
      <c r="I50" s="1"/>
    </row>
    <row r="51" spans="1:9" x14ac:dyDescent="0.25">
      <c r="A51" s="1" t="s">
        <v>152</v>
      </c>
      <c r="B51" s="7">
        <v>5</v>
      </c>
      <c r="C51" s="10">
        <f>B51*0/100</f>
        <v>0</v>
      </c>
      <c r="D51" s="10">
        <f>B51*99.9/100</f>
        <v>4.9950000000000001</v>
      </c>
      <c r="E51" s="7">
        <f>B51*0/100</f>
        <v>0</v>
      </c>
      <c r="F51" s="10">
        <f>B51*899/100</f>
        <v>44.95</v>
      </c>
      <c r="G51" s="5"/>
      <c r="H51" s="5"/>
      <c r="I51" s="1"/>
    </row>
    <row r="52" spans="1:9" x14ac:dyDescent="0.25">
      <c r="A52" s="1" t="s">
        <v>9</v>
      </c>
      <c r="B52" s="7">
        <v>3</v>
      </c>
      <c r="C52" s="10">
        <f>B52*0/100</f>
        <v>0</v>
      </c>
      <c r="D52" s="10">
        <f>B52*0/100</f>
        <v>0</v>
      </c>
      <c r="E52" s="7">
        <f>B52*99.8/100</f>
        <v>2.9939999999999998</v>
      </c>
      <c r="F52" s="10">
        <f>B52*379/100</f>
        <v>11.37</v>
      </c>
      <c r="G52" s="5"/>
      <c r="H52" s="5"/>
      <c r="I52" s="1"/>
    </row>
    <row r="53" spans="1:9" x14ac:dyDescent="0.25">
      <c r="A53" s="2" t="s">
        <v>14</v>
      </c>
      <c r="B53" s="5"/>
      <c r="C53" s="5">
        <f t="shared" ref="C53" si="2">B53*1.5/100</f>
        <v>0</v>
      </c>
      <c r="D53" s="5">
        <f>D50+D51</f>
        <v>4.9950000000000001</v>
      </c>
      <c r="E53" s="5">
        <f>E50+E51+E52</f>
        <v>3.8939999999999997</v>
      </c>
      <c r="F53" s="5">
        <f>F50+F51+F52</f>
        <v>70.320000000000007</v>
      </c>
      <c r="G53" s="5">
        <v>55</v>
      </c>
      <c r="H53" s="5"/>
      <c r="I53" s="1" t="s">
        <v>259</v>
      </c>
    </row>
    <row r="54" spans="1:9" x14ac:dyDescent="0.25">
      <c r="A54" s="1" t="s">
        <v>32</v>
      </c>
      <c r="B54" s="7">
        <v>60</v>
      </c>
      <c r="C54" s="10">
        <f>B54*7.7/100</f>
        <v>4.62</v>
      </c>
      <c r="D54" s="10">
        <f>B54*3/100</f>
        <v>1.8</v>
      </c>
      <c r="E54" s="7">
        <f>B54*49.8/100</f>
        <v>29.88</v>
      </c>
      <c r="F54" s="10">
        <f>B54*262/100</f>
        <v>157.19999999999999</v>
      </c>
      <c r="G54" s="5">
        <v>60</v>
      </c>
      <c r="H54" s="5"/>
      <c r="I54" s="1"/>
    </row>
    <row r="55" spans="1:9" x14ac:dyDescent="0.25">
      <c r="A55" s="1" t="s">
        <v>12</v>
      </c>
      <c r="B55" s="7">
        <v>30</v>
      </c>
      <c r="C55" s="10">
        <f>B55*6.6/100</f>
        <v>1.98</v>
      </c>
      <c r="D55" s="10">
        <f>B55*1.2/100</f>
        <v>0.36</v>
      </c>
      <c r="E55" s="7">
        <f>B55*34.2/100</f>
        <v>10.26</v>
      </c>
      <c r="F55" s="10">
        <f>B55*181/100</f>
        <v>54.3</v>
      </c>
      <c r="G55" s="5">
        <v>30</v>
      </c>
      <c r="H55" s="5"/>
      <c r="I55" s="1"/>
    </row>
    <row r="56" spans="1:9" x14ac:dyDescent="0.25">
      <c r="A56" s="2" t="s">
        <v>76</v>
      </c>
      <c r="B56" s="5"/>
      <c r="C56" s="5">
        <f>(C34+C44+C44+C47+C48+C53+C54+C55)</f>
        <v>54.641999999999996</v>
      </c>
      <c r="D56" s="5">
        <f>(D34+D44+D47+D48+D53+D54+D55)</f>
        <v>34.818999999999996</v>
      </c>
      <c r="E56" s="5">
        <f>(E34+E44+E47+E48+E53+E54+E55)</f>
        <v>117.06</v>
      </c>
      <c r="F56" s="5">
        <f>(F34+F44+F47+F48+F53+F54+F55)</f>
        <v>954.66000000000008</v>
      </c>
      <c r="G56" s="5">
        <v>815</v>
      </c>
      <c r="H56" s="5"/>
      <c r="I56" s="1"/>
    </row>
    <row r="57" spans="1:9" x14ac:dyDescent="0.25">
      <c r="A57" s="1" t="s">
        <v>196</v>
      </c>
      <c r="B57" s="7">
        <v>3</v>
      </c>
      <c r="C57" s="10"/>
      <c r="D57" s="10"/>
      <c r="E57" s="7"/>
      <c r="F57" s="10"/>
      <c r="G57" s="5"/>
      <c r="H57" s="5"/>
      <c r="I57" s="1"/>
    </row>
    <row r="58" spans="1:9" ht="25.5" customHeight="1" x14ac:dyDescent="0.25">
      <c r="A58" s="14" t="s">
        <v>154</v>
      </c>
      <c r="B58" s="16"/>
      <c r="C58" s="16">
        <f>(C22+C24+C56)</f>
        <v>90.640399999999985</v>
      </c>
      <c r="D58" s="16">
        <f>(D22+D24+D56)</f>
        <v>77.323999999999984</v>
      </c>
      <c r="E58" s="16">
        <f>E22+E24+E56</f>
        <v>188.46780000000001</v>
      </c>
      <c r="F58" s="16">
        <f>F22+F24+F56</f>
        <v>1760.5360000000001</v>
      </c>
      <c r="G58" s="5">
        <f>G22+G24+G56</f>
        <v>1535</v>
      </c>
      <c r="H58" s="5"/>
      <c r="I58" s="1"/>
    </row>
    <row r="59" spans="1:9" x14ac:dyDescent="0.25">
      <c r="A59" s="1"/>
      <c r="B59" s="7"/>
      <c r="C59" s="10"/>
      <c r="D59" s="10"/>
      <c r="E59" s="7"/>
      <c r="F59" s="10"/>
      <c r="G59" s="5"/>
      <c r="H59" s="5"/>
      <c r="I59" s="1"/>
    </row>
  </sheetData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Сказка</cp:lastModifiedBy>
  <cp:lastPrinted>2021-03-01T08:05:39Z</cp:lastPrinted>
  <dcterms:created xsi:type="dcterms:W3CDTF">2021-02-16T06:31:48Z</dcterms:created>
  <dcterms:modified xsi:type="dcterms:W3CDTF">2021-04-19T10:29:45Z</dcterms:modified>
</cp:coreProperties>
</file>